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1"/>
  </bookViews>
  <sheets>
    <sheet name="cc" sheetId="1" r:id="rId1"/>
    <sheet name="Linea" sheetId="2" r:id="rId2"/>
  </sheets>
  <definedNames>
    <definedName name="_xlnm.Print_Area" localSheetId="0">'cc'!$A$1:$J$30</definedName>
    <definedName name="_xlnm.Print_Area" localSheetId="1">'Linea'!$B$5:$N$39</definedName>
  </definedNames>
  <calcPr fullCalcOnLoad="1"/>
</workbook>
</file>

<file path=xl/comments1.xml><?xml version="1.0" encoding="utf-8"?>
<comments xmlns="http://schemas.openxmlformats.org/spreadsheetml/2006/main">
  <authors>
    <author>Adolfo</author>
  </authors>
  <commentList>
    <comment ref="C12" authorId="0">
      <text>
        <r>
          <rPr>
            <sz val="8"/>
            <rFont val="Tahoma"/>
            <family val="2"/>
          </rPr>
          <t>Comenzamos con el apunte correspondiente al saldo del perido anterior, ya que se supone que la cuenta no se abre nueva sino que proviene de antes.
La fecha valor de este apunte es el último día del año anterior.</t>
        </r>
      </text>
    </comment>
    <comment ref="H30" authorId="0">
      <text>
        <r>
          <rPr>
            <sz val="8"/>
            <rFont val="Tahoma"/>
            <family val="2"/>
          </rPr>
          <t>Suma de los días del periodo.</t>
        </r>
      </text>
    </comment>
    <comment ref="E29" authorId="0">
      <text>
        <r>
          <rPr>
            <sz val="8"/>
            <rFont val="Tahoma"/>
            <family val="2"/>
          </rPr>
          <t>Suponemos una comisión fija por mantenimiento de cuenta de 36 €, más 15 céntimos por apunte.</t>
        </r>
      </text>
    </comment>
    <comment ref="I12" authorId="0">
      <text>
        <r>
          <rPr>
            <sz val="8"/>
            <rFont val="Tahoma"/>
            <family val="2"/>
          </rPr>
          <t>Los números comerciales acreedores son el producto del número de días por el saldo dividido entre 100. Si el saldo es acreedor (&gt;0).</t>
        </r>
      </text>
    </comment>
    <comment ref="J12" authorId="0">
      <text>
        <r>
          <rPr>
            <sz val="8"/>
            <rFont val="Tahoma"/>
            <family val="2"/>
          </rPr>
          <t>Los números comerciales deudores son el producto del número de días por el saldo dividido entre 100. Si el saldo es acreedor (&lt;0).</t>
        </r>
      </text>
    </comment>
    <comment ref="H12" authorId="0">
      <text>
        <r>
          <rPr>
            <sz val="8"/>
            <rFont val="Tahoma"/>
            <family val="2"/>
          </rPr>
          <t>Los Dias se calculan como diferencia de dos fechas valor consecutivas, y expresan el número de días que un Saldo esta vigente hasta que otro viene a sustituirle.</t>
        </r>
      </text>
    </comment>
    <comment ref="E27" authorId="0">
      <text>
        <r>
          <rPr>
            <sz val="8"/>
            <rFont val="Tahoma"/>
            <family val="2"/>
          </rPr>
          <t>Hacienda practica una retención a cuenta del impuesto del IRPF o de sociedades. Esta retención se aplica sobre los intereses acreedores, sin que se compensen con los intereses deudores en caso de existir.</t>
        </r>
      </text>
    </comment>
    <comment ref="G29" authorId="0">
      <text>
        <r>
          <rPr>
            <sz val="8"/>
            <rFont val="Tahoma"/>
            <family val="2"/>
          </rPr>
          <t>Este es el Saldo Final de la cuenta para este periodo. Se convertirá en el saldo con el que se abra la cuenta el próximo año.</t>
        </r>
      </text>
    </comment>
    <comment ref="J30" authorId="0">
      <text>
        <r>
          <rPr>
            <sz val="8"/>
            <rFont val="Tahoma"/>
            <family val="2"/>
          </rPr>
          <t>Suma de números comerciales, que se utiliza para el cálculo de los intereses.</t>
        </r>
      </text>
    </comment>
    <comment ref="G13" authorId="0">
      <text>
        <r>
          <rPr>
            <sz val="8"/>
            <rFont val="Tahoma"/>
            <family val="2"/>
          </rPr>
          <t>El saldo se calcula como saldo anterior, más Haber, menos Debe.
Si resulta positivo hablamos de Saldo acreedor, y si resulta negativo hablamos de Saldo Deudor (los famosos números rojos).</t>
        </r>
      </text>
    </comment>
    <comment ref="C11" authorId="0">
      <text>
        <r>
          <rPr>
            <sz val="8"/>
            <rFont val="Tahoma"/>
            <family val="2"/>
          </rPr>
          <t>Esta es la fecha valor, sobre la que se calculan los Dias, para el cálculo de intereses.
Puede diferir de la fecha del apunte contable.</t>
        </r>
      </text>
    </comment>
    <comment ref="F26" authorId="0">
      <text>
        <r>
          <rPr>
            <sz val="8"/>
            <rFont val="Tahoma"/>
            <family val="2"/>
          </rPr>
          <t>Los intereses acreedores se calculan multiplicando los números comerciales acreedores por el tipo de interés acreedor y dividido entre 365 o 360 según se use la base del año civil o comercial.
En este caso hemos multiplicado por 100 ya que en los números comerciales se dividió entre 100.</t>
        </r>
      </text>
    </comment>
  </commentList>
</comments>
</file>

<file path=xl/sharedStrings.xml><?xml version="1.0" encoding="utf-8"?>
<sst xmlns="http://schemas.openxmlformats.org/spreadsheetml/2006/main" count="87" uniqueCount="70">
  <si>
    <t>Límite</t>
  </si>
  <si>
    <t>dias</t>
  </si>
  <si>
    <t>saldo anterior</t>
  </si>
  <si>
    <t>liquidación</t>
  </si>
  <si>
    <t>Debe</t>
  </si>
  <si>
    <t>Haber</t>
  </si>
  <si>
    <t>Saldo</t>
  </si>
  <si>
    <t>NUMEROS COMERCIALES</t>
  </si>
  <si>
    <t>Deudores</t>
  </si>
  <si>
    <t>Acreedores</t>
  </si>
  <si>
    <t>Excedidos</t>
  </si>
  <si>
    <t>Concepto</t>
  </si>
  <si>
    <t>Fecha valor</t>
  </si>
  <si>
    <t>Intereses</t>
  </si>
  <si>
    <t>base</t>
  </si>
  <si>
    <t>Tipo</t>
  </si>
  <si>
    <t>Acreedor</t>
  </si>
  <si>
    <t>Deudor</t>
  </si>
  <si>
    <t>Excedido</t>
  </si>
  <si>
    <t>Dispuesto</t>
  </si>
  <si>
    <t>No dispuesto</t>
  </si>
  <si>
    <t>SALDO</t>
  </si>
  <si>
    <t>SALDO x DIAS</t>
  </si>
  <si>
    <t>Saldo medio no dispuesto</t>
  </si>
  <si>
    <t>Comisión rebasamiento límite</t>
  </si>
  <si>
    <t>Saldo de intereses</t>
  </si>
  <si>
    <t>Com s/saldo medio no dispuesto</t>
  </si>
  <si>
    <t>Saldo medio dispuesto</t>
  </si>
  <si>
    <t>COSTES</t>
  </si>
  <si>
    <t>Interes deudor</t>
  </si>
  <si>
    <t>Interes excedido</t>
  </si>
  <si>
    <t>Acreedor liquido</t>
  </si>
  <si>
    <t>Interes acreedor</t>
  </si>
  <si>
    <t>=</t>
  </si>
  <si>
    <t>LIQUIDACIÓN</t>
  </si>
  <si>
    <t>Interés excedido</t>
  </si>
  <si>
    <t>Interés acreedor liquido</t>
  </si>
  <si>
    <t>Retención</t>
  </si>
  <si>
    <r>
      <t>TAE</t>
    </r>
    <r>
      <rPr>
        <sz val="10"/>
        <rFont val="Arial"/>
        <family val="2"/>
      </rPr>
      <t xml:space="preserve"> (anual)</t>
    </r>
  </si>
  <si>
    <t>Liquidación de una Línea de Crédito</t>
  </si>
  <si>
    <t>Considerando retención fiscal y comisiones por saldo medio no dispuesto y por rebasamiento del límite.</t>
  </si>
  <si>
    <t>Hemos utilizado:</t>
  </si>
  <si>
    <t>Números Comerciales</t>
  </si>
  <si>
    <t>Saldo Dispuesto / no Dispuesto</t>
  </si>
  <si>
    <t>Coste Financiero</t>
  </si>
  <si>
    <t>TAE</t>
  </si>
  <si>
    <t>Las celdas en amarillo son Datos</t>
  </si>
  <si>
    <t>Liquidación de una cuenta corriente por el Método Hamburgues</t>
  </si>
  <si>
    <t>Tipo interes acreedor</t>
  </si>
  <si>
    <t>Tipo de interés deudor</t>
  </si>
  <si>
    <t>Fecha</t>
  </si>
  <si>
    <t>Valor</t>
  </si>
  <si>
    <t>Dias</t>
  </si>
  <si>
    <t>Saldo periodo anterior</t>
  </si>
  <si>
    <t>Retención Hacienda</t>
  </si>
  <si>
    <t>Intereses acreedores</t>
  </si>
  <si>
    <t>Retención hacienda</t>
  </si>
  <si>
    <t>Intereses deudores</t>
  </si>
  <si>
    <t>Gastos y Comisiones</t>
  </si>
  <si>
    <t>Ingreso cheque</t>
  </si>
  <si>
    <t>Transferencia emitida</t>
  </si>
  <si>
    <t>Pago recibo</t>
  </si>
  <si>
    <t>Transferencia recibida</t>
  </si>
  <si>
    <t>Reintegro cajero</t>
  </si>
  <si>
    <t>Pago con cheque</t>
  </si>
  <si>
    <t>Ingreso en cuenta</t>
  </si>
  <si>
    <t>Venta acciones</t>
  </si>
  <si>
    <t>Comisión venta acciones</t>
  </si>
  <si>
    <t>CtaCte.xls</t>
  </si>
  <si>
    <t>Liquidación de intereses anuales calculados por el método Hamburgues en base 360.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</si>
</sst>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00%"/>
    <numFmt numFmtId="174" formatCode="mmm\-yyyy"/>
    <numFmt numFmtId="175" formatCode="0.000"/>
    <numFmt numFmtId="176" formatCode="0.0000"/>
    <numFmt numFmtId="177" formatCode="0.00000"/>
  </numFmts>
  <fonts count="50">
    <font>
      <sz val="10"/>
      <name val="Arial"/>
      <family val="0"/>
    </font>
    <font>
      <b/>
      <sz val="10"/>
      <name val="Arial"/>
      <family val="2"/>
    </font>
    <font>
      <b/>
      <sz val="10"/>
      <color indexed="10"/>
      <name val="Arial"/>
      <family val="2"/>
    </font>
    <font>
      <b/>
      <sz val="12"/>
      <color indexed="12"/>
      <name val="Arial"/>
      <family val="2"/>
    </font>
    <font>
      <sz val="10"/>
      <color indexed="17"/>
      <name val="Arial"/>
      <family val="2"/>
    </font>
    <font>
      <b/>
      <sz val="9"/>
      <name val="Arial"/>
      <family val="2"/>
    </font>
    <font>
      <b/>
      <sz val="11"/>
      <name val="Arial"/>
      <family val="2"/>
    </font>
    <font>
      <b/>
      <sz val="16"/>
      <name val="Arial"/>
      <family val="2"/>
    </font>
    <font>
      <sz val="10"/>
      <color indexed="9"/>
      <name val="Arial"/>
      <family val="0"/>
    </font>
    <font>
      <u val="single"/>
      <sz val="10"/>
      <color indexed="12"/>
      <name val="Arial"/>
      <family val="0"/>
    </font>
    <font>
      <u val="single"/>
      <sz val="10"/>
      <color indexed="36"/>
      <name val="Arial"/>
      <family val="0"/>
    </font>
    <font>
      <b/>
      <sz val="18"/>
      <color indexed="43"/>
      <name val="Bodoni MT Condensed"/>
      <family val="1"/>
    </font>
    <font>
      <sz val="10"/>
      <color indexed="43"/>
      <name val="Arial"/>
      <family val="0"/>
    </font>
    <font>
      <sz val="8"/>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11"/>
        <bgColor indexed="64"/>
      </patternFill>
    </fill>
    <fill>
      <patternFill patternType="solid">
        <fgColor indexed="47"/>
        <bgColor indexed="64"/>
      </patternFill>
    </fill>
    <fill>
      <patternFill patternType="solid">
        <fgColor indexed="45"/>
        <bgColor indexed="64"/>
      </patternFill>
    </fill>
    <fill>
      <patternFill patternType="solid">
        <fgColor indexed="40"/>
        <bgColor indexed="64"/>
      </patternFill>
    </fill>
    <fill>
      <patternFill patternType="solid">
        <fgColor indexed="49"/>
        <bgColor indexed="64"/>
      </patternFill>
    </fill>
    <fill>
      <patternFill patternType="solid">
        <fgColor indexed="22"/>
        <bgColor indexed="64"/>
      </patternFill>
    </fill>
    <fill>
      <patternFill patternType="solid">
        <fgColor indexed="50"/>
        <bgColor indexed="64"/>
      </patternFill>
    </fill>
    <fill>
      <patternFill patternType="solid">
        <fgColor indexed="19"/>
        <bgColor indexed="64"/>
      </patternFill>
    </fill>
    <fill>
      <patternFill patternType="solid">
        <fgColor indexed="43"/>
        <bgColor indexed="64"/>
      </patternFill>
    </fill>
    <fill>
      <patternFill patternType="solid">
        <fgColor indexed="51"/>
        <bgColor indexed="64"/>
      </patternFill>
    </fill>
    <fill>
      <patternFill patternType="solid">
        <fgColor indexed="1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medium"/>
      <bottom style="medium"/>
    </border>
    <border>
      <left style="thin"/>
      <right style="thin"/>
      <top style="thin"/>
      <bottom>
        <color indexed="63"/>
      </botto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style="thin"/>
      <top style="thin"/>
      <bottom style="medium"/>
    </border>
    <border>
      <left style="medium"/>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44"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49">
    <xf numFmtId="0" fontId="0" fillId="0" borderId="0" xfId="0" applyAlignment="1">
      <alignment/>
    </xf>
    <xf numFmtId="14" fontId="0" fillId="0" borderId="0" xfId="0" applyNumberFormat="1" applyAlignment="1">
      <alignment/>
    </xf>
    <xf numFmtId="0" fontId="1" fillId="0" borderId="0" xfId="0" applyFont="1" applyAlignment="1">
      <alignment horizontal="center"/>
    </xf>
    <xf numFmtId="4" fontId="0" fillId="0" borderId="0" xfId="0" applyNumberFormat="1" applyAlignment="1">
      <alignment/>
    </xf>
    <xf numFmtId="9" fontId="1" fillId="0" borderId="0" xfId="0" applyNumberFormat="1" applyFont="1" applyAlignment="1">
      <alignment/>
    </xf>
    <xf numFmtId="0" fontId="1" fillId="0" borderId="0" xfId="0" applyFont="1" applyAlignment="1">
      <alignment/>
    </xf>
    <xf numFmtId="1" fontId="0" fillId="0" borderId="10" xfId="0" applyNumberFormat="1" applyBorder="1" applyAlignment="1">
      <alignment/>
    </xf>
    <xf numFmtId="0" fontId="0" fillId="0" borderId="10" xfId="0" applyBorder="1" applyAlignment="1">
      <alignment/>
    </xf>
    <xf numFmtId="4" fontId="0" fillId="0" borderId="10" xfId="0" applyNumberFormat="1" applyBorder="1" applyAlignment="1">
      <alignment/>
    </xf>
    <xf numFmtId="0" fontId="1" fillId="0" borderId="10" xfId="0" applyFont="1" applyBorder="1" applyAlignment="1">
      <alignment horizontal="center"/>
    </xf>
    <xf numFmtId="0" fontId="1" fillId="0" borderId="10" xfId="0" applyFont="1" applyBorder="1" applyAlignment="1">
      <alignment/>
    </xf>
    <xf numFmtId="1" fontId="1" fillId="0" borderId="10" xfId="0" applyNumberFormat="1" applyFont="1" applyBorder="1" applyAlignment="1">
      <alignment/>
    </xf>
    <xf numFmtId="9" fontId="0" fillId="0" borderId="10" xfId="0" applyNumberFormat="1" applyBorder="1" applyAlignment="1">
      <alignment/>
    </xf>
    <xf numFmtId="0" fontId="0" fillId="0" borderId="0" xfId="0" applyBorder="1" applyAlignment="1">
      <alignment/>
    </xf>
    <xf numFmtId="3" fontId="0" fillId="0" borderId="11" xfId="0" applyNumberFormat="1" applyBorder="1" applyAlignment="1">
      <alignment/>
    </xf>
    <xf numFmtId="0" fontId="1" fillId="0" borderId="0" xfId="0" applyFont="1" applyBorder="1" applyAlignment="1">
      <alignment/>
    </xf>
    <xf numFmtId="9" fontId="0" fillId="0" borderId="0" xfId="0" applyNumberFormat="1" applyBorder="1" applyAlignment="1">
      <alignment/>
    </xf>
    <xf numFmtId="4" fontId="0" fillId="0" borderId="0" xfId="0" applyNumberFormat="1" applyBorder="1" applyAlignment="1">
      <alignment/>
    </xf>
    <xf numFmtId="10" fontId="0" fillId="0" borderId="0" xfId="0" applyNumberFormat="1" applyAlignment="1">
      <alignment/>
    </xf>
    <xf numFmtId="0" fontId="0" fillId="0" borderId="0" xfId="0" applyBorder="1" applyAlignment="1" quotePrefix="1">
      <alignment horizontal="left"/>
    </xf>
    <xf numFmtId="0" fontId="1" fillId="0" borderId="0" xfId="0" applyFont="1" applyBorder="1" applyAlignment="1">
      <alignment horizontal="center"/>
    </xf>
    <xf numFmtId="0" fontId="0" fillId="0" borderId="12" xfId="0" applyBorder="1" applyAlignment="1">
      <alignment/>
    </xf>
    <xf numFmtId="0" fontId="0" fillId="0" borderId="11" xfId="0" applyBorder="1" applyAlignment="1">
      <alignment/>
    </xf>
    <xf numFmtId="0" fontId="1" fillId="0" borderId="11" xfId="0" applyFont="1" applyBorder="1" applyAlignment="1">
      <alignment horizontal="center"/>
    </xf>
    <xf numFmtId="15" fontId="0" fillId="33" borderId="10" xfId="0" applyNumberFormat="1" applyFill="1" applyBorder="1" applyAlignment="1">
      <alignment/>
    </xf>
    <xf numFmtId="0" fontId="0" fillId="33" borderId="10" xfId="0" applyFill="1" applyBorder="1" applyAlignment="1">
      <alignment/>
    </xf>
    <xf numFmtId="9" fontId="0" fillId="33" borderId="10" xfId="0" applyNumberFormat="1" applyFill="1" applyBorder="1" applyAlignment="1">
      <alignment/>
    </xf>
    <xf numFmtId="10" fontId="0" fillId="33" borderId="10" xfId="0" applyNumberFormat="1" applyFill="1" applyBorder="1" applyAlignment="1">
      <alignment/>
    </xf>
    <xf numFmtId="3" fontId="0" fillId="33" borderId="10" xfId="0" applyNumberFormat="1" applyFill="1" applyBorder="1" applyAlignment="1">
      <alignment/>
    </xf>
    <xf numFmtId="4" fontId="0" fillId="33" borderId="10" xfId="0" applyNumberFormat="1" applyFill="1" applyBorder="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0" fillId="34" borderId="13" xfId="0" applyFill="1" applyBorder="1" applyAlignment="1">
      <alignment horizontal="center"/>
    </xf>
    <xf numFmtId="4" fontId="0" fillId="35" borderId="10" xfId="0" applyNumberFormat="1" applyFill="1" applyBorder="1" applyAlignment="1">
      <alignment/>
    </xf>
    <xf numFmtId="4" fontId="1" fillId="36" borderId="10" xfId="0" applyNumberFormat="1" applyFont="1" applyFill="1" applyBorder="1" applyAlignment="1">
      <alignment/>
    </xf>
    <xf numFmtId="4" fontId="0" fillId="37" borderId="10" xfId="0" applyNumberFormat="1" applyFill="1" applyBorder="1" applyAlignment="1">
      <alignment/>
    </xf>
    <xf numFmtId="0" fontId="1" fillId="34" borderId="10" xfId="0" applyFont="1" applyFill="1" applyBorder="1" applyAlignment="1">
      <alignment horizontal="center"/>
    </xf>
    <xf numFmtId="4" fontId="1" fillId="34" borderId="10" xfId="0" applyNumberFormat="1" applyFont="1" applyFill="1" applyBorder="1" applyAlignment="1">
      <alignment/>
    </xf>
    <xf numFmtId="4" fontId="0" fillId="38" borderId="10" xfId="0" applyNumberFormat="1" applyFill="1" applyBorder="1" applyAlignment="1">
      <alignment/>
    </xf>
    <xf numFmtId="4" fontId="1" fillId="38" borderId="10" xfId="0" applyNumberFormat="1" applyFont="1" applyFill="1" applyBorder="1" applyAlignment="1">
      <alignment/>
    </xf>
    <xf numFmtId="0" fontId="1" fillId="39" borderId="10" xfId="0" applyFont="1" applyFill="1" applyBorder="1" applyAlignment="1">
      <alignment horizontal="center"/>
    </xf>
    <xf numFmtId="4" fontId="0" fillId="39" borderId="10" xfId="0" applyNumberFormat="1" applyFill="1" applyBorder="1" applyAlignment="1">
      <alignment/>
    </xf>
    <xf numFmtId="4" fontId="1" fillId="39" borderId="10" xfId="0" applyNumberFormat="1" applyFont="1" applyFill="1" applyBorder="1" applyAlignment="1">
      <alignment/>
    </xf>
    <xf numFmtId="0" fontId="1" fillId="40" borderId="10" xfId="0" applyFont="1" applyFill="1" applyBorder="1" applyAlignment="1">
      <alignment horizontal="center"/>
    </xf>
    <xf numFmtId="4" fontId="0" fillId="40" borderId="10" xfId="0" applyNumberFormat="1" applyFill="1" applyBorder="1" applyAlignment="1">
      <alignment/>
    </xf>
    <xf numFmtId="4" fontId="1" fillId="40" borderId="10" xfId="0" applyNumberFormat="1" applyFont="1" applyFill="1" applyBorder="1" applyAlignment="1">
      <alignment/>
    </xf>
    <xf numFmtId="0" fontId="0" fillId="36" borderId="10" xfId="0" applyFill="1" applyBorder="1" applyAlignment="1">
      <alignment/>
    </xf>
    <xf numFmtId="4" fontId="0" fillId="36" borderId="10" xfId="0" applyNumberFormat="1" applyFill="1" applyBorder="1" applyAlignment="1">
      <alignment/>
    </xf>
    <xf numFmtId="0" fontId="0" fillId="36" borderId="10" xfId="0" applyFill="1" applyBorder="1" applyAlignment="1" quotePrefix="1">
      <alignment horizontal="left"/>
    </xf>
    <xf numFmtId="4" fontId="0" fillId="34" borderId="10" xfId="0" applyNumberFormat="1" applyFill="1" applyBorder="1" applyAlignment="1">
      <alignment/>
    </xf>
    <xf numFmtId="0" fontId="0" fillId="0" borderId="14" xfId="0" applyFill="1" applyBorder="1" applyAlignment="1">
      <alignment/>
    </xf>
    <xf numFmtId="0" fontId="5" fillId="38" borderId="10" xfId="0" applyFont="1" applyFill="1" applyBorder="1" applyAlignment="1">
      <alignment/>
    </xf>
    <xf numFmtId="4" fontId="6" fillId="34" borderId="10" xfId="0" applyNumberFormat="1" applyFont="1" applyFill="1" applyBorder="1" applyAlignment="1">
      <alignment/>
    </xf>
    <xf numFmtId="173" fontId="1" fillId="34" borderId="15" xfId="55" applyNumberFormat="1" applyFont="1" applyFill="1" applyBorder="1" applyAlignment="1">
      <alignment/>
    </xf>
    <xf numFmtId="0" fontId="8" fillId="0" borderId="0" xfId="0" applyFont="1" applyFill="1" applyAlignment="1">
      <alignment/>
    </xf>
    <xf numFmtId="0" fontId="1" fillId="41" borderId="16" xfId="0" applyFont="1" applyFill="1" applyBorder="1" applyAlignment="1">
      <alignment horizontal="center"/>
    </xf>
    <xf numFmtId="0" fontId="1" fillId="41" borderId="17" xfId="0" applyFont="1" applyFill="1" applyBorder="1" applyAlignment="1">
      <alignment horizontal="center"/>
    </xf>
    <xf numFmtId="0" fontId="1" fillId="41" borderId="18" xfId="0" applyFont="1" applyFill="1" applyBorder="1" applyAlignment="1">
      <alignment horizontal="center"/>
    </xf>
    <xf numFmtId="0" fontId="0" fillId="35" borderId="16" xfId="0" applyFill="1" applyBorder="1" applyAlignment="1">
      <alignment/>
    </xf>
    <xf numFmtId="9" fontId="0" fillId="35" borderId="18" xfId="0" applyNumberFormat="1" applyFill="1" applyBorder="1" applyAlignment="1">
      <alignment/>
    </xf>
    <xf numFmtId="0" fontId="0" fillId="35" borderId="10" xfId="0" applyFill="1" applyBorder="1" applyAlignment="1">
      <alignment/>
    </xf>
    <xf numFmtId="4" fontId="0" fillId="35" borderId="19" xfId="0" applyNumberFormat="1" applyFill="1" applyBorder="1" applyAlignment="1">
      <alignment/>
    </xf>
    <xf numFmtId="4" fontId="0" fillId="35" borderId="20" xfId="0" applyNumberFormat="1" applyFill="1" applyBorder="1" applyAlignment="1">
      <alignment/>
    </xf>
    <xf numFmtId="14" fontId="0" fillId="35" borderId="21" xfId="0" applyNumberFormat="1" applyFill="1" applyBorder="1" applyAlignment="1">
      <alignment/>
    </xf>
    <xf numFmtId="14" fontId="0" fillId="35" borderId="10" xfId="0" applyNumberFormat="1" applyFill="1" applyBorder="1" applyAlignment="1">
      <alignment/>
    </xf>
    <xf numFmtId="0" fontId="0" fillId="35" borderId="10" xfId="0" applyNumberFormat="1" applyFill="1" applyBorder="1" applyAlignment="1">
      <alignment/>
    </xf>
    <xf numFmtId="44" fontId="0" fillId="35" borderId="0" xfId="45" applyFont="1" applyFill="1" applyBorder="1" applyAlignment="1">
      <alignment/>
    </xf>
    <xf numFmtId="44" fontId="0" fillId="35" borderId="10" xfId="45" applyFont="1" applyFill="1" applyBorder="1" applyAlignment="1">
      <alignment/>
    </xf>
    <xf numFmtId="0" fontId="0" fillId="38" borderId="21" xfId="0" applyFill="1" applyBorder="1" applyAlignment="1">
      <alignment/>
    </xf>
    <xf numFmtId="0" fontId="0" fillId="38" borderId="10" xfId="0" applyFill="1" applyBorder="1" applyAlignment="1">
      <alignment/>
    </xf>
    <xf numFmtId="9" fontId="0" fillId="38" borderId="22" xfId="0" applyNumberFormat="1" applyFill="1" applyBorder="1" applyAlignment="1">
      <alignment/>
    </xf>
    <xf numFmtId="4" fontId="0" fillId="38" borderId="22" xfId="0" applyNumberFormat="1" applyFill="1" applyBorder="1" applyAlignment="1">
      <alignment/>
    </xf>
    <xf numFmtId="4" fontId="0" fillId="38" borderId="23" xfId="0" applyNumberFormat="1" applyFill="1" applyBorder="1" applyAlignment="1">
      <alignment/>
    </xf>
    <xf numFmtId="4" fontId="0" fillId="38" borderId="24" xfId="0" applyNumberFormat="1" applyFill="1" applyBorder="1" applyAlignment="1">
      <alignment/>
    </xf>
    <xf numFmtId="14" fontId="0" fillId="38" borderId="21" xfId="0" applyNumberFormat="1" applyFill="1" applyBorder="1" applyAlignment="1">
      <alignment/>
    </xf>
    <xf numFmtId="14" fontId="0" fillId="38" borderId="10" xfId="0" applyNumberFormat="1" applyFill="1" applyBorder="1" applyAlignment="1">
      <alignment/>
    </xf>
    <xf numFmtId="0" fontId="0" fillId="38" borderId="10" xfId="0" applyNumberFormat="1" applyFill="1" applyBorder="1" applyAlignment="1">
      <alignment/>
    </xf>
    <xf numFmtId="44" fontId="0" fillId="38" borderId="10" xfId="45" applyFont="1" applyFill="1" applyBorder="1" applyAlignment="1">
      <alignment/>
    </xf>
    <xf numFmtId="0" fontId="0" fillId="42" borderId="25" xfId="0" applyFill="1" applyBorder="1" applyAlignment="1">
      <alignment/>
    </xf>
    <xf numFmtId="9" fontId="0" fillId="42" borderId="23" xfId="0" applyNumberFormat="1" applyFill="1" applyBorder="1" applyAlignment="1">
      <alignment/>
    </xf>
    <xf numFmtId="14" fontId="0" fillId="42" borderId="21" xfId="0" applyNumberFormat="1" applyFill="1" applyBorder="1" applyAlignment="1">
      <alignment/>
    </xf>
    <xf numFmtId="14" fontId="0" fillId="42" borderId="10" xfId="0" applyNumberFormat="1" applyFill="1" applyBorder="1" applyAlignment="1">
      <alignment/>
    </xf>
    <xf numFmtId="0" fontId="0" fillId="42" borderId="10" xfId="0" applyNumberFormat="1" applyFill="1" applyBorder="1" applyAlignment="1">
      <alignment/>
    </xf>
    <xf numFmtId="0" fontId="0" fillId="42" borderId="10" xfId="0" applyFill="1" applyBorder="1" applyAlignment="1">
      <alignment/>
    </xf>
    <xf numFmtId="44" fontId="0" fillId="42" borderId="10" xfId="45" applyFont="1" applyFill="1" applyBorder="1" applyAlignment="1">
      <alignment/>
    </xf>
    <xf numFmtId="0" fontId="0" fillId="33" borderId="10" xfId="0" applyNumberFormat="1" applyFill="1" applyBorder="1" applyAlignment="1">
      <alignment/>
    </xf>
    <xf numFmtId="0" fontId="0" fillId="33" borderId="26" xfId="0" applyFill="1" applyBorder="1" applyAlignment="1">
      <alignment/>
    </xf>
    <xf numFmtId="14" fontId="0" fillId="36" borderId="21" xfId="0" applyNumberFormat="1" applyFill="1" applyBorder="1" applyAlignment="1">
      <alignment/>
    </xf>
    <xf numFmtId="14" fontId="0" fillId="36" borderId="10" xfId="0" applyNumberFormat="1" applyFill="1" applyBorder="1" applyAlignment="1">
      <alignment/>
    </xf>
    <xf numFmtId="44" fontId="0" fillId="36" borderId="10" xfId="45" applyFont="1" applyFill="1" applyBorder="1" applyAlignment="1">
      <alignment/>
    </xf>
    <xf numFmtId="14" fontId="0" fillId="43" borderId="21" xfId="0" applyNumberFormat="1" applyFill="1" applyBorder="1" applyAlignment="1">
      <alignment/>
    </xf>
    <xf numFmtId="14" fontId="0" fillId="43" borderId="10" xfId="0" applyNumberFormat="1" applyFill="1" applyBorder="1" applyAlignment="1">
      <alignment/>
    </xf>
    <xf numFmtId="0" fontId="0" fillId="43" borderId="10" xfId="0" applyFill="1" applyBorder="1" applyAlignment="1">
      <alignment/>
    </xf>
    <xf numFmtId="44" fontId="0" fillId="43" borderId="10" xfId="45" applyFont="1" applyFill="1" applyBorder="1" applyAlignment="1">
      <alignment/>
    </xf>
    <xf numFmtId="44" fontId="0" fillId="43" borderId="10" xfId="45" applyFill="1" applyBorder="1" applyAlignment="1">
      <alignment/>
    </xf>
    <xf numFmtId="14" fontId="0" fillId="39" borderId="25" xfId="0" applyNumberFormat="1" applyFill="1" applyBorder="1" applyAlignment="1">
      <alignment/>
    </xf>
    <xf numFmtId="14" fontId="0" fillId="39" borderId="19" xfId="0" applyNumberFormat="1" applyFill="1" applyBorder="1" applyAlignment="1">
      <alignment/>
    </xf>
    <xf numFmtId="0" fontId="0" fillId="39" borderId="19" xfId="0" applyFill="1" applyBorder="1" applyAlignment="1">
      <alignment/>
    </xf>
    <xf numFmtId="44" fontId="0" fillId="39" borderId="19" xfId="45" applyFont="1" applyFill="1" applyBorder="1" applyAlignment="1">
      <alignment/>
    </xf>
    <xf numFmtId="8" fontId="0" fillId="43" borderId="10" xfId="45" applyNumberFormat="1" applyFont="1" applyFill="1" applyBorder="1" applyAlignment="1">
      <alignment/>
    </xf>
    <xf numFmtId="8" fontId="0" fillId="36" borderId="10" xfId="45" applyNumberFormat="1" applyFont="1" applyFill="1" applyBorder="1" applyAlignment="1">
      <alignment/>
    </xf>
    <xf numFmtId="8" fontId="0" fillId="35" borderId="10" xfId="45" applyNumberFormat="1" applyFont="1" applyFill="1" applyBorder="1" applyAlignment="1">
      <alignment/>
    </xf>
    <xf numFmtId="8" fontId="0" fillId="42" borderId="10" xfId="45" applyNumberFormat="1" applyFont="1" applyFill="1" applyBorder="1" applyAlignment="1">
      <alignment/>
    </xf>
    <xf numFmtId="8" fontId="0" fillId="38" borderId="10" xfId="45" applyNumberFormat="1" applyFont="1" applyFill="1" applyBorder="1" applyAlignment="1">
      <alignment/>
    </xf>
    <xf numFmtId="8" fontId="1" fillId="39" borderId="19" xfId="45" applyNumberFormat="1" applyFont="1" applyFill="1" applyBorder="1" applyAlignment="1">
      <alignment/>
    </xf>
    <xf numFmtId="0" fontId="1" fillId="41" borderId="27" xfId="0" applyFont="1" applyFill="1" applyBorder="1" applyAlignment="1">
      <alignment horizontal="center" wrapText="1"/>
    </xf>
    <xf numFmtId="0" fontId="0" fillId="0" borderId="15" xfId="0" applyBorder="1" applyAlignment="1">
      <alignment horizontal="center" wrapText="1"/>
    </xf>
    <xf numFmtId="0" fontId="11" fillId="44" borderId="27" xfId="0" applyFont="1" applyFill="1" applyBorder="1" applyAlignment="1">
      <alignment horizontal="center" vertical="center" wrapText="1"/>
    </xf>
    <xf numFmtId="0" fontId="12" fillId="44" borderId="13" xfId="0" applyFont="1" applyFill="1" applyBorder="1" applyAlignment="1">
      <alignment horizontal="center" vertical="center" wrapText="1"/>
    </xf>
    <xf numFmtId="0" fontId="12" fillId="44" borderId="15" xfId="0" applyFont="1" applyFill="1" applyBorder="1" applyAlignment="1">
      <alignment horizontal="center" vertical="center" wrapText="1"/>
    </xf>
    <xf numFmtId="0" fontId="0" fillId="45" borderId="28" xfId="0" applyFill="1" applyBorder="1" applyAlignment="1">
      <alignment horizontal="center" vertical="center" wrapText="1"/>
    </xf>
    <xf numFmtId="0" fontId="0" fillId="45" borderId="29" xfId="0" applyFill="1" applyBorder="1" applyAlignment="1">
      <alignment horizontal="center" vertical="center" wrapText="1"/>
    </xf>
    <xf numFmtId="0" fontId="0" fillId="45" borderId="30" xfId="0" applyFill="1" applyBorder="1" applyAlignment="1">
      <alignment horizontal="center" vertical="center" wrapText="1"/>
    </xf>
    <xf numFmtId="0" fontId="0" fillId="45" borderId="31" xfId="0" applyFill="1" applyBorder="1" applyAlignment="1">
      <alignment horizontal="center" vertical="center" wrapText="1"/>
    </xf>
    <xf numFmtId="0" fontId="0" fillId="45" borderId="32" xfId="0" applyFill="1" applyBorder="1" applyAlignment="1">
      <alignment horizontal="center" vertical="center" wrapText="1"/>
    </xf>
    <xf numFmtId="0" fontId="0" fillId="45" borderId="33" xfId="0" applyFill="1" applyBorder="1" applyAlignment="1">
      <alignment horizontal="center" vertical="center" wrapText="1"/>
    </xf>
    <xf numFmtId="0" fontId="0" fillId="35" borderId="34" xfId="0" applyFill="1" applyBorder="1" applyAlignment="1">
      <alignment wrapText="1"/>
    </xf>
    <xf numFmtId="0" fontId="0" fillId="0" borderId="35" xfId="0" applyBorder="1" applyAlignment="1">
      <alignment wrapText="1"/>
    </xf>
    <xf numFmtId="0" fontId="0" fillId="35" borderId="31" xfId="0" applyFill="1" applyBorder="1" applyAlignment="1">
      <alignment wrapText="1"/>
    </xf>
    <xf numFmtId="0" fontId="0" fillId="0" borderId="33" xfId="0" applyBorder="1" applyAlignment="1">
      <alignment wrapText="1"/>
    </xf>
    <xf numFmtId="0" fontId="2" fillId="36" borderId="36" xfId="0" applyFont="1" applyFill="1" applyBorder="1" applyAlignment="1">
      <alignment wrapText="1"/>
    </xf>
    <xf numFmtId="0" fontId="0" fillId="36" borderId="37" xfId="0" applyFill="1" applyBorder="1" applyAlignment="1">
      <alignment wrapText="1"/>
    </xf>
    <xf numFmtId="0" fontId="0" fillId="36" borderId="38" xfId="0" applyFill="1" applyBorder="1" applyAlignment="1">
      <alignment wrapText="1"/>
    </xf>
    <xf numFmtId="0" fontId="0" fillId="33" borderId="36" xfId="0" applyFill="1" applyBorder="1" applyAlignment="1">
      <alignment vertical="center" wrapText="1"/>
    </xf>
    <xf numFmtId="0" fontId="0" fillId="33" borderId="38" xfId="0" applyFill="1" applyBorder="1" applyAlignment="1">
      <alignment vertical="center" wrapText="1"/>
    </xf>
    <xf numFmtId="0" fontId="0" fillId="37" borderId="10" xfId="0" applyFill="1" applyBorder="1" applyAlignment="1">
      <alignment wrapText="1"/>
    </xf>
    <xf numFmtId="0" fontId="0" fillId="0" borderId="10" xfId="0" applyBorder="1" applyAlignment="1">
      <alignment wrapText="1"/>
    </xf>
    <xf numFmtId="0" fontId="1" fillId="36" borderId="28" xfId="0" applyFont="1" applyFill="1" applyBorder="1" applyAlignment="1">
      <alignment horizontal="center" wrapText="1"/>
    </xf>
    <xf numFmtId="0" fontId="0" fillId="0" borderId="30" xfId="0" applyBorder="1" applyAlignment="1">
      <alignment wrapText="1"/>
    </xf>
    <xf numFmtId="0" fontId="0" fillId="35" borderId="34" xfId="0" applyFont="1" applyFill="1" applyBorder="1" applyAlignment="1">
      <alignment horizontal="left" wrapText="1"/>
    </xf>
    <xf numFmtId="0" fontId="0" fillId="37" borderId="10" xfId="0" applyFill="1" applyBorder="1" applyAlignment="1" quotePrefix="1">
      <alignment horizontal="left" wrapText="1"/>
    </xf>
    <xf numFmtId="0" fontId="7" fillId="40" borderId="27" xfId="0" applyFont="1" applyFill="1" applyBorder="1" applyAlignment="1">
      <alignment horizontal="center" vertical="center" wrapText="1"/>
    </xf>
    <xf numFmtId="0" fontId="7" fillId="40" borderId="13"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1" fillId="34" borderId="10" xfId="0" applyFont="1" applyFill="1" applyBorder="1" applyAlignment="1">
      <alignment horizontal="center" wrapText="1"/>
    </xf>
    <xf numFmtId="0" fontId="1" fillId="34" borderId="27" xfId="0" applyFont="1" applyFill="1" applyBorder="1" applyAlignment="1">
      <alignment horizontal="center"/>
    </xf>
    <xf numFmtId="0" fontId="0" fillId="34" borderId="13" xfId="0" applyFont="1" applyFill="1" applyBorder="1" applyAlignment="1">
      <alignment horizontal="center"/>
    </xf>
    <xf numFmtId="0" fontId="1" fillId="35" borderId="10" xfId="0" applyFont="1" applyFill="1" applyBorder="1" applyAlignment="1">
      <alignment horizontal="center" wrapText="1"/>
    </xf>
    <xf numFmtId="0" fontId="0" fillId="34" borderId="39" xfId="0" applyFill="1" applyBorder="1" applyAlignment="1">
      <alignment horizontal="center" wrapText="1"/>
    </xf>
    <xf numFmtId="0" fontId="0" fillId="34" borderId="40" xfId="0" applyFill="1" applyBorder="1" applyAlignment="1">
      <alignment horizontal="center" wrapText="1"/>
    </xf>
    <xf numFmtId="0" fontId="0" fillId="34" borderId="41" xfId="0" applyFill="1" applyBorder="1" applyAlignment="1">
      <alignment horizontal="center" wrapText="1"/>
    </xf>
    <xf numFmtId="0" fontId="0" fillId="34" borderId="42" xfId="0" applyFill="1" applyBorder="1" applyAlignment="1">
      <alignment horizontal="center" wrapText="1"/>
    </xf>
    <xf numFmtId="0" fontId="0" fillId="34" borderId="43" xfId="0" applyFill="1" applyBorder="1" applyAlignment="1">
      <alignment horizontal="center" vertical="center" wrapText="1"/>
    </xf>
    <xf numFmtId="0" fontId="0" fillId="34" borderId="44" xfId="0" applyFill="1" applyBorder="1" applyAlignment="1">
      <alignment horizontal="center" vertical="center" wrapText="1"/>
    </xf>
    <xf numFmtId="173" fontId="0" fillId="34" borderId="45" xfId="55" applyNumberFormat="1" applyFont="1" applyFill="1" applyBorder="1" applyAlignment="1">
      <alignment vertical="center" wrapText="1"/>
    </xf>
    <xf numFmtId="173" fontId="0" fillId="34" borderId="46" xfId="55" applyNumberFormat="1" applyFont="1" applyFill="1" applyBorder="1" applyAlignment="1">
      <alignment vertical="center" wrapText="1"/>
    </xf>
    <xf numFmtId="0" fontId="1" fillId="46" borderId="10" xfId="0" applyFont="1" applyFill="1" applyBorder="1" applyAlignment="1">
      <alignment horizontal="center" wrapText="1"/>
    </xf>
    <xf numFmtId="0" fontId="1" fillId="47" borderId="10"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22</xdr:row>
      <xdr:rowOff>9525</xdr:rowOff>
    </xdr:from>
    <xdr:to>
      <xdr:col>6</xdr:col>
      <xdr:colOff>466725</xdr:colOff>
      <xdr:row>27</xdr:row>
      <xdr:rowOff>123825</xdr:rowOff>
    </xdr:to>
    <xdr:sp>
      <xdr:nvSpPr>
        <xdr:cNvPr id="1" name="Line 1"/>
        <xdr:cNvSpPr>
          <a:spLocks/>
        </xdr:cNvSpPr>
      </xdr:nvSpPr>
      <xdr:spPr>
        <a:xfrm flipV="1">
          <a:off x="4267200" y="3848100"/>
          <a:ext cx="47625" cy="942975"/>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27</xdr:row>
      <xdr:rowOff>95250</xdr:rowOff>
    </xdr:from>
    <xdr:to>
      <xdr:col>7</xdr:col>
      <xdr:colOff>38100</xdr:colOff>
      <xdr:row>29</xdr:row>
      <xdr:rowOff>95250</xdr:rowOff>
    </xdr:to>
    <xdr:sp>
      <xdr:nvSpPr>
        <xdr:cNvPr id="2" name="Oval 19"/>
        <xdr:cNvSpPr>
          <a:spLocks/>
        </xdr:cNvSpPr>
      </xdr:nvSpPr>
      <xdr:spPr>
        <a:xfrm>
          <a:off x="3876675" y="4762500"/>
          <a:ext cx="657225" cy="342900"/>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0"/>
  <sheetViews>
    <sheetView showGridLines="0" zoomScalePageLayoutView="0" workbookViewId="0" topLeftCell="A1">
      <selection activeCell="N8" sqref="N8"/>
    </sheetView>
  </sheetViews>
  <sheetFormatPr defaultColWidth="11.421875" defaultRowHeight="12.75"/>
  <cols>
    <col min="1" max="1" width="2.421875" style="0" customWidth="1"/>
    <col min="2" max="3" width="10.140625" style="0" bestFit="1" customWidth="1"/>
    <col min="4" max="4" width="21.8515625" style="0" bestFit="1" customWidth="1"/>
    <col min="5" max="6" width="11.8515625" style="0" bestFit="1" customWidth="1"/>
    <col min="7" max="7" width="10.7109375" style="0" bestFit="1" customWidth="1"/>
    <col min="8" max="8" width="4.8515625" style="0" bestFit="1" customWidth="1"/>
    <col min="9" max="9" width="11.28125" style="0" bestFit="1" customWidth="1"/>
  </cols>
  <sheetData>
    <row r="1" ht="13.5" thickBot="1">
      <c r="A1" s="55" t="s">
        <v>68</v>
      </c>
    </row>
    <row r="2" spans="2:8" ht="24" customHeight="1" thickBot="1">
      <c r="B2" s="108" t="s">
        <v>47</v>
      </c>
      <c r="C2" s="109"/>
      <c r="D2" s="109"/>
      <c r="E2" s="109"/>
      <c r="F2" s="109"/>
      <c r="G2" s="109"/>
      <c r="H2" s="110"/>
    </row>
    <row r="4" spans="2:8" ht="12.75">
      <c r="B4" s="111" t="s">
        <v>69</v>
      </c>
      <c r="C4" s="112"/>
      <c r="D4" s="112"/>
      <c r="E4" s="112"/>
      <c r="F4" s="112"/>
      <c r="G4" s="112"/>
      <c r="H4" s="113"/>
    </row>
    <row r="5" spans="2:8" ht="12.75">
      <c r="B5" s="114"/>
      <c r="C5" s="115"/>
      <c r="D5" s="115"/>
      <c r="E5" s="115"/>
      <c r="F5" s="115"/>
      <c r="G5" s="115"/>
      <c r="H5" s="116"/>
    </row>
    <row r="6" ht="13.5" thickBot="1"/>
    <row r="7" spans="4:5" ht="12.75">
      <c r="D7" s="59" t="s">
        <v>48</v>
      </c>
      <c r="E7" s="60">
        <v>0.02</v>
      </c>
    </row>
    <row r="8" spans="4:5" ht="12.75">
      <c r="D8" s="69" t="s">
        <v>49</v>
      </c>
      <c r="E8" s="71">
        <v>0.21</v>
      </c>
    </row>
    <row r="9" spans="4:5" ht="13.5" thickBot="1">
      <c r="D9" s="79" t="s">
        <v>54</v>
      </c>
      <c r="E9" s="80">
        <v>0.18</v>
      </c>
    </row>
    <row r="10" spans="2:10" ht="13.5" thickBot="1">
      <c r="B10" s="2"/>
      <c r="C10" s="2"/>
      <c r="D10" s="2"/>
      <c r="E10" s="2"/>
      <c r="F10" s="2"/>
      <c r="G10" s="2"/>
      <c r="H10" s="2"/>
      <c r="I10" s="106" t="s">
        <v>42</v>
      </c>
      <c r="J10" s="107"/>
    </row>
    <row r="11" spans="2:10" ht="12.75">
      <c r="B11" s="56" t="s">
        <v>50</v>
      </c>
      <c r="C11" s="57" t="s">
        <v>51</v>
      </c>
      <c r="D11" s="57" t="s">
        <v>11</v>
      </c>
      <c r="E11" s="57" t="s">
        <v>4</v>
      </c>
      <c r="F11" s="57" t="s">
        <v>5</v>
      </c>
      <c r="G11" s="57" t="s">
        <v>6</v>
      </c>
      <c r="H11" s="57" t="s">
        <v>52</v>
      </c>
      <c r="I11" s="57" t="s">
        <v>9</v>
      </c>
      <c r="J11" s="58" t="s">
        <v>8</v>
      </c>
    </row>
    <row r="12" spans="2:10" ht="12.75">
      <c r="B12" s="91">
        <v>38718</v>
      </c>
      <c r="C12" s="92">
        <v>38717</v>
      </c>
      <c r="D12" s="93" t="s">
        <v>53</v>
      </c>
      <c r="E12" s="94"/>
      <c r="F12" s="95">
        <v>25632.27</v>
      </c>
      <c r="G12" s="100">
        <f>+F12-E12</f>
        <v>25632.27</v>
      </c>
      <c r="H12" s="86">
        <f aca="true" t="shared" si="0" ref="H12:H28">+C13-C12</f>
        <v>28</v>
      </c>
      <c r="I12" s="34">
        <f aca="true" t="shared" si="1" ref="I12:I25">+IF(G12&gt;0,G12*H12/100,0)</f>
        <v>7177.0356</v>
      </c>
      <c r="J12" s="72">
        <f aca="true" t="shared" si="2" ref="J12:J25">+IF(G12&lt;0,-G12*H12/100,0)</f>
        <v>0</v>
      </c>
    </row>
    <row r="13" spans="2:10" ht="12.75">
      <c r="B13" s="88">
        <v>38742</v>
      </c>
      <c r="C13" s="89">
        <v>38745</v>
      </c>
      <c r="D13" s="47" t="s">
        <v>59</v>
      </c>
      <c r="E13" s="90"/>
      <c r="F13" s="90">
        <v>1200</v>
      </c>
      <c r="G13" s="101">
        <f>+G12+F13-E13</f>
        <v>26832.27</v>
      </c>
      <c r="H13" s="86">
        <f t="shared" si="0"/>
        <v>26</v>
      </c>
      <c r="I13" s="34">
        <f t="shared" si="1"/>
        <v>6976.3902</v>
      </c>
      <c r="J13" s="72">
        <f t="shared" si="2"/>
        <v>0</v>
      </c>
    </row>
    <row r="14" spans="2:10" ht="12.75">
      <c r="B14" s="88">
        <v>38771</v>
      </c>
      <c r="C14" s="89">
        <v>38771</v>
      </c>
      <c r="D14" s="47" t="s">
        <v>60</v>
      </c>
      <c r="E14" s="90">
        <v>30000</v>
      </c>
      <c r="F14" s="90"/>
      <c r="G14" s="101">
        <f aca="true" t="shared" si="3" ref="G14:G29">+G13+F14-E14</f>
        <v>-3167.7299999999996</v>
      </c>
      <c r="H14" s="86">
        <f t="shared" si="0"/>
        <v>13</v>
      </c>
      <c r="I14" s="34">
        <f t="shared" si="1"/>
        <v>0</v>
      </c>
      <c r="J14" s="72">
        <f t="shared" si="2"/>
        <v>411.8048999999999</v>
      </c>
    </row>
    <row r="15" spans="2:10" ht="12.75">
      <c r="B15" s="88">
        <v>38784</v>
      </c>
      <c r="C15" s="89">
        <v>38784</v>
      </c>
      <c r="D15" s="47" t="s">
        <v>61</v>
      </c>
      <c r="E15" s="90">
        <v>500</v>
      </c>
      <c r="F15" s="90"/>
      <c r="G15" s="101">
        <f t="shared" si="3"/>
        <v>-3667.7299999999996</v>
      </c>
      <c r="H15" s="86">
        <f t="shared" si="0"/>
        <v>30</v>
      </c>
      <c r="I15" s="34">
        <f t="shared" si="1"/>
        <v>0</v>
      </c>
      <c r="J15" s="72">
        <f t="shared" si="2"/>
        <v>1100.319</v>
      </c>
    </row>
    <row r="16" spans="2:10" ht="12.75">
      <c r="B16" s="88">
        <v>38814</v>
      </c>
      <c r="C16" s="89">
        <v>38814</v>
      </c>
      <c r="D16" s="47" t="s">
        <v>62</v>
      </c>
      <c r="E16" s="90"/>
      <c r="F16" s="90">
        <v>7400</v>
      </c>
      <c r="G16" s="101">
        <f t="shared" si="3"/>
        <v>3732.2700000000004</v>
      </c>
      <c r="H16" s="86">
        <f t="shared" si="0"/>
        <v>14</v>
      </c>
      <c r="I16" s="34">
        <f t="shared" si="1"/>
        <v>522.5178000000001</v>
      </c>
      <c r="J16" s="72">
        <f t="shared" si="2"/>
        <v>0</v>
      </c>
    </row>
    <row r="17" spans="2:10" ht="12.75">
      <c r="B17" s="88">
        <v>38828</v>
      </c>
      <c r="C17" s="89">
        <v>38828</v>
      </c>
      <c r="D17" s="47" t="s">
        <v>63</v>
      </c>
      <c r="E17" s="90">
        <v>600</v>
      </c>
      <c r="F17" s="90"/>
      <c r="G17" s="101">
        <f t="shared" si="3"/>
        <v>3132.2700000000004</v>
      </c>
      <c r="H17" s="86">
        <f t="shared" si="0"/>
        <v>1</v>
      </c>
      <c r="I17" s="34">
        <f t="shared" si="1"/>
        <v>31.322700000000005</v>
      </c>
      <c r="J17" s="72">
        <f t="shared" si="2"/>
        <v>0</v>
      </c>
    </row>
    <row r="18" spans="2:10" ht="12.75">
      <c r="B18" s="88">
        <v>38829</v>
      </c>
      <c r="C18" s="89">
        <v>38829</v>
      </c>
      <c r="D18" s="47" t="s">
        <v>61</v>
      </c>
      <c r="E18" s="90">
        <v>1500</v>
      </c>
      <c r="F18" s="90"/>
      <c r="G18" s="101">
        <f t="shared" si="3"/>
        <v>1632.2700000000004</v>
      </c>
      <c r="H18" s="86">
        <f t="shared" si="0"/>
        <v>70</v>
      </c>
      <c r="I18" s="34">
        <f t="shared" si="1"/>
        <v>1142.5890000000002</v>
      </c>
      <c r="J18" s="72">
        <f t="shared" si="2"/>
        <v>0</v>
      </c>
    </row>
    <row r="19" spans="2:10" ht="12.75">
      <c r="B19" s="88">
        <v>38899</v>
      </c>
      <c r="C19" s="89">
        <v>38899</v>
      </c>
      <c r="D19" s="47" t="s">
        <v>60</v>
      </c>
      <c r="E19" s="90">
        <v>1100</v>
      </c>
      <c r="F19" s="90"/>
      <c r="G19" s="101">
        <f t="shared" si="3"/>
        <v>532.2700000000004</v>
      </c>
      <c r="H19" s="86">
        <f t="shared" si="0"/>
        <v>27</v>
      </c>
      <c r="I19" s="34">
        <f t="shared" si="1"/>
        <v>143.7129000000001</v>
      </c>
      <c r="J19" s="72">
        <f t="shared" si="2"/>
        <v>0</v>
      </c>
    </row>
    <row r="20" spans="2:10" ht="12.75">
      <c r="B20" s="88">
        <v>38927</v>
      </c>
      <c r="C20" s="89">
        <v>38926</v>
      </c>
      <c r="D20" s="47" t="s">
        <v>64</v>
      </c>
      <c r="E20" s="90">
        <v>1700</v>
      </c>
      <c r="F20" s="90"/>
      <c r="G20" s="101">
        <f t="shared" si="3"/>
        <v>-1167.7299999999996</v>
      </c>
      <c r="H20" s="86">
        <f t="shared" si="0"/>
        <v>39</v>
      </c>
      <c r="I20" s="34">
        <f t="shared" si="1"/>
        <v>0</v>
      </c>
      <c r="J20" s="72">
        <f t="shared" si="2"/>
        <v>455.41469999999987</v>
      </c>
    </row>
    <row r="21" spans="2:10" ht="12.75">
      <c r="B21" s="88">
        <v>38965</v>
      </c>
      <c r="C21" s="89">
        <v>38965</v>
      </c>
      <c r="D21" s="47" t="s">
        <v>65</v>
      </c>
      <c r="E21" s="90"/>
      <c r="F21" s="90">
        <v>235.65</v>
      </c>
      <c r="G21" s="101">
        <f t="shared" si="3"/>
        <v>-932.0799999999996</v>
      </c>
      <c r="H21" s="86">
        <f t="shared" si="0"/>
        <v>9</v>
      </c>
      <c r="I21" s="34">
        <f t="shared" si="1"/>
        <v>0</v>
      </c>
      <c r="J21" s="72">
        <f t="shared" si="2"/>
        <v>83.88719999999995</v>
      </c>
    </row>
    <row r="22" spans="2:10" ht="12.75">
      <c r="B22" s="88">
        <v>38974</v>
      </c>
      <c r="C22" s="89">
        <v>38974</v>
      </c>
      <c r="D22" s="47" t="s">
        <v>62</v>
      </c>
      <c r="E22" s="90"/>
      <c r="F22" s="90">
        <v>789.54</v>
      </c>
      <c r="G22" s="101">
        <f t="shared" si="3"/>
        <v>-142.53999999999962</v>
      </c>
      <c r="H22" s="86">
        <f t="shared" si="0"/>
        <v>53</v>
      </c>
      <c r="I22" s="34">
        <f t="shared" si="1"/>
        <v>0</v>
      </c>
      <c r="J22" s="72">
        <f t="shared" si="2"/>
        <v>75.5461999999998</v>
      </c>
    </row>
    <row r="23" spans="2:10" ht="12.75">
      <c r="B23" s="88">
        <v>39024</v>
      </c>
      <c r="C23" s="89">
        <v>39027</v>
      </c>
      <c r="D23" s="47" t="s">
        <v>59</v>
      </c>
      <c r="E23" s="90"/>
      <c r="F23" s="90">
        <v>10250.88</v>
      </c>
      <c r="G23" s="101">
        <f t="shared" si="3"/>
        <v>10108.34</v>
      </c>
      <c r="H23" s="86">
        <f t="shared" si="0"/>
        <v>47</v>
      </c>
      <c r="I23" s="34">
        <f t="shared" si="1"/>
        <v>4750.9198</v>
      </c>
      <c r="J23" s="72">
        <f t="shared" si="2"/>
        <v>0</v>
      </c>
    </row>
    <row r="24" spans="2:10" ht="12.75">
      <c r="B24" s="88">
        <v>39070</v>
      </c>
      <c r="C24" s="89">
        <v>39074</v>
      </c>
      <c r="D24" s="47" t="s">
        <v>66</v>
      </c>
      <c r="E24" s="90"/>
      <c r="F24" s="90">
        <v>15000</v>
      </c>
      <c r="G24" s="101">
        <f t="shared" si="3"/>
        <v>25108.34</v>
      </c>
      <c r="H24" s="86">
        <f t="shared" si="0"/>
        <v>0</v>
      </c>
      <c r="I24" s="34">
        <f t="shared" si="1"/>
        <v>0</v>
      </c>
      <c r="J24" s="72">
        <f t="shared" si="2"/>
        <v>0</v>
      </c>
    </row>
    <row r="25" spans="2:10" ht="12.75">
      <c r="B25" s="88">
        <v>39092</v>
      </c>
      <c r="C25" s="89">
        <v>39074</v>
      </c>
      <c r="D25" s="47" t="s">
        <v>67</v>
      </c>
      <c r="E25" s="90">
        <v>22.5</v>
      </c>
      <c r="F25" s="90"/>
      <c r="G25" s="101">
        <f t="shared" si="3"/>
        <v>25085.84</v>
      </c>
      <c r="H25" s="86">
        <f t="shared" si="0"/>
        <v>8</v>
      </c>
      <c r="I25" s="34">
        <f t="shared" si="1"/>
        <v>2006.8672</v>
      </c>
      <c r="J25" s="72">
        <f t="shared" si="2"/>
        <v>0</v>
      </c>
    </row>
    <row r="26" spans="2:10" ht="12.75">
      <c r="B26" s="64">
        <v>39082</v>
      </c>
      <c r="C26" s="65">
        <v>39082</v>
      </c>
      <c r="D26" s="61" t="s">
        <v>55</v>
      </c>
      <c r="E26" s="67"/>
      <c r="F26" s="68">
        <f>ROUND(+I30*E7*100/360,2)</f>
        <v>126.4</v>
      </c>
      <c r="G26" s="102">
        <f t="shared" si="3"/>
        <v>25212.24</v>
      </c>
      <c r="H26" s="66">
        <f t="shared" si="0"/>
        <v>0</v>
      </c>
      <c r="I26" s="34"/>
      <c r="J26" s="72"/>
    </row>
    <row r="27" spans="2:10" ht="12.75">
      <c r="B27" s="81">
        <v>39082</v>
      </c>
      <c r="C27" s="82">
        <v>39082</v>
      </c>
      <c r="D27" s="84" t="s">
        <v>56</v>
      </c>
      <c r="E27" s="85">
        <f>+ROUND(F26*E9,2)</f>
        <v>22.75</v>
      </c>
      <c r="F27" s="85"/>
      <c r="G27" s="103">
        <f t="shared" si="3"/>
        <v>25189.49</v>
      </c>
      <c r="H27" s="83">
        <f t="shared" si="0"/>
        <v>0</v>
      </c>
      <c r="I27" s="34"/>
      <c r="J27" s="72"/>
    </row>
    <row r="28" spans="2:10" ht="12.75">
      <c r="B28" s="75">
        <v>39082</v>
      </c>
      <c r="C28" s="76">
        <v>39082</v>
      </c>
      <c r="D28" s="70" t="s">
        <v>57</v>
      </c>
      <c r="E28" s="78">
        <f>ROUND(+J30*E8*100/360,2)</f>
        <v>124.07</v>
      </c>
      <c r="F28" s="78"/>
      <c r="G28" s="104">
        <f t="shared" si="3"/>
        <v>25065.420000000002</v>
      </c>
      <c r="H28" s="77">
        <f t="shared" si="0"/>
        <v>0</v>
      </c>
      <c r="I28" s="34"/>
      <c r="J28" s="72"/>
    </row>
    <row r="29" spans="2:10" ht="13.5" thickBot="1">
      <c r="B29" s="96">
        <v>39082</v>
      </c>
      <c r="C29" s="97">
        <v>39082</v>
      </c>
      <c r="D29" s="98" t="s">
        <v>58</v>
      </c>
      <c r="E29" s="99">
        <f>36+0.15*COUNT(H12:H25)</f>
        <v>38.1</v>
      </c>
      <c r="F29" s="99"/>
      <c r="G29" s="105">
        <f t="shared" si="3"/>
        <v>25027.320000000003</v>
      </c>
      <c r="H29" s="98"/>
      <c r="I29" s="62"/>
      <c r="J29" s="73"/>
    </row>
    <row r="30" spans="8:10" ht="13.5" thickBot="1">
      <c r="H30" s="87">
        <f>SUM(H12:H29)</f>
        <v>365</v>
      </c>
      <c r="I30" s="63">
        <f>SUM(I12:I29)</f>
        <v>22751.3552</v>
      </c>
      <c r="J30" s="74">
        <f>SUM(J12:J29)</f>
        <v>2126.9719999999993</v>
      </c>
    </row>
  </sheetData>
  <sheetProtection/>
  <mergeCells count="3">
    <mergeCell ref="I10:J10"/>
    <mergeCell ref="B2:H2"/>
    <mergeCell ref="B4:H5"/>
  </mergeCells>
  <printOptions headings="1"/>
  <pageMargins left="0.75" right="0.75" top="1" bottom="1" header="0" footer="0"/>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showGridLines="0" tabSelected="1" zoomScalePageLayoutView="0" workbookViewId="0" topLeftCell="A1">
      <selection activeCell="A1" sqref="A1"/>
    </sheetView>
  </sheetViews>
  <sheetFormatPr defaultColWidth="11.421875" defaultRowHeight="12.75"/>
  <cols>
    <col min="1" max="1" width="1.57421875" style="0" customWidth="1"/>
    <col min="2" max="2" width="12.00390625" style="0" customWidth="1"/>
    <col min="3" max="3" width="6.57421875" style="0" bestFit="1" customWidth="1"/>
    <col min="4" max="4" width="18.28125" style="0" customWidth="1"/>
    <col min="5" max="5" width="9.7109375" style="0" customWidth="1"/>
    <col min="6" max="6" width="9.57421875" style="0" customWidth="1"/>
    <col min="7" max="7" width="9.7109375" style="0" bestFit="1" customWidth="1"/>
    <col min="8" max="8" width="9.8515625" style="0" customWidth="1"/>
    <col min="9" max="9" width="8.8515625" style="0" customWidth="1"/>
    <col min="10" max="10" width="9.00390625" style="0" customWidth="1"/>
    <col min="11" max="11" width="10.00390625" style="0" customWidth="1"/>
    <col min="12" max="12" width="12.57421875" style="0" bestFit="1" customWidth="1"/>
    <col min="13" max="13" width="10.140625" style="0" bestFit="1" customWidth="1"/>
    <col min="14" max="14" width="12.57421875" style="0" bestFit="1" customWidth="1"/>
  </cols>
  <sheetData>
    <row r="1" spans="1:12" ht="12.75" customHeight="1">
      <c r="A1" s="55" t="s">
        <v>68</v>
      </c>
      <c r="B1" s="55"/>
      <c r="D1" s="121" t="s">
        <v>40</v>
      </c>
      <c r="E1" s="122"/>
      <c r="F1" s="122"/>
      <c r="G1" s="122"/>
      <c r="H1" s="122"/>
      <c r="I1" s="122"/>
      <c r="J1" s="122"/>
      <c r="K1" s="122"/>
      <c r="L1" s="123"/>
    </row>
    <row r="2" ht="13.5" thickBot="1"/>
    <row r="3" spans="2:13" ht="28.5" customHeight="1" thickBot="1">
      <c r="B3" s="132" t="s">
        <v>39</v>
      </c>
      <c r="C3" s="133"/>
      <c r="D3" s="133"/>
      <c r="E3" s="133"/>
      <c r="F3" s="134"/>
      <c r="G3" s="30"/>
      <c r="H3" s="124" t="s">
        <v>46</v>
      </c>
      <c r="I3" s="125"/>
      <c r="J3" s="30"/>
      <c r="K3" s="128" t="s">
        <v>28</v>
      </c>
      <c r="L3" s="129"/>
      <c r="M3" s="35">
        <f>SUM(M4:M8)</f>
        <v>248.0516695357686</v>
      </c>
    </row>
    <row r="4" spans="2:13" ht="15.75">
      <c r="B4" s="30"/>
      <c r="C4" s="30"/>
      <c r="D4" s="30"/>
      <c r="E4" s="30"/>
      <c r="F4" s="30"/>
      <c r="G4" s="30"/>
      <c r="H4" s="31" t="s">
        <v>41</v>
      </c>
      <c r="I4" s="30"/>
      <c r="J4" s="30"/>
      <c r="K4" s="130" t="s">
        <v>32</v>
      </c>
      <c r="L4" s="118"/>
      <c r="M4" s="34">
        <f>-D8</f>
        <v>-4.124046575342466</v>
      </c>
    </row>
    <row r="5" spans="2:13" ht="12.75">
      <c r="B5" s="10" t="s">
        <v>0</v>
      </c>
      <c r="C5" s="28">
        <v>50000</v>
      </c>
      <c r="H5" s="32" t="s">
        <v>42</v>
      </c>
      <c r="K5" s="117" t="s">
        <v>29</v>
      </c>
      <c r="L5" s="118"/>
      <c r="M5" s="34">
        <f>-D10</f>
        <v>217.30668999999995</v>
      </c>
    </row>
    <row r="6" spans="2:13" ht="12.75">
      <c r="B6" s="13"/>
      <c r="C6" s="14"/>
      <c r="H6" s="32" t="s">
        <v>43</v>
      </c>
      <c r="K6" s="117" t="s">
        <v>30</v>
      </c>
      <c r="L6" s="118"/>
      <c r="M6" s="34">
        <f>-D11</f>
        <v>1.4140583333333325</v>
      </c>
    </row>
    <row r="7" spans="3:13" ht="12.75">
      <c r="C7" s="23" t="s">
        <v>15</v>
      </c>
      <c r="D7" s="9" t="s">
        <v>13</v>
      </c>
      <c r="E7" s="9" t="s">
        <v>14</v>
      </c>
      <c r="F7" s="10" t="s">
        <v>37</v>
      </c>
      <c r="H7" s="32" t="s">
        <v>44</v>
      </c>
      <c r="K7" s="117" t="str">
        <f>+D29</f>
        <v>Com s/saldo medio no dispuesto</v>
      </c>
      <c r="L7" s="118"/>
      <c r="M7" s="34">
        <f>-F29</f>
        <v>18.91036777777778</v>
      </c>
    </row>
    <row r="8" spans="2:13" ht="12.75">
      <c r="B8" s="10" t="s">
        <v>16</v>
      </c>
      <c r="C8" s="26">
        <v>0.03</v>
      </c>
      <c r="D8" s="8">
        <f>+H22*C8*100/E8</f>
        <v>4.124046575342466</v>
      </c>
      <c r="E8" s="25">
        <v>365</v>
      </c>
      <c r="F8" s="51"/>
      <c r="H8" s="32" t="s">
        <v>45</v>
      </c>
      <c r="K8" s="119" t="str">
        <f>+D30</f>
        <v>Comisión rebasamiento límite</v>
      </c>
      <c r="L8" s="120"/>
      <c r="M8" s="34">
        <f>-F30</f>
        <v>14.54459999999999</v>
      </c>
    </row>
    <row r="9" spans="2:7" ht="12.75">
      <c r="B9" s="10" t="s">
        <v>31</v>
      </c>
      <c r="C9" s="12"/>
      <c r="D9" s="8">
        <f>+D8*(1-F9)</f>
        <v>3.3817181917808226</v>
      </c>
      <c r="E9" s="7"/>
      <c r="F9" s="27">
        <v>0.18</v>
      </c>
      <c r="G9" s="18"/>
    </row>
    <row r="10" spans="2:6" ht="12.75">
      <c r="B10" s="10" t="s">
        <v>17</v>
      </c>
      <c r="C10" s="26">
        <v>0.09</v>
      </c>
      <c r="D10" s="8">
        <f>-I22*C10*100/E10</f>
        <v>-217.30668999999995</v>
      </c>
      <c r="E10" s="25">
        <v>360</v>
      </c>
      <c r="F10" s="21"/>
    </row>
    <row r="11" spans="2:6" ht="12.75">
      <c r="B11" s="10" t="s">
        <v>18</v>
      </c>
      <c r="C11" s="26">
        <v>0.21</v>
      </c>
      <c r="D11" s="8">
        <f>-J22*C11*100/E11</f>
        <v>-1.4140583333333325</v>
      </c>
      <c r="E11" s="25">
        <v>360</v>
      </c>
      <c r="F11" s="22"/>
    </row>
    <row r="12" spans="2:5" ht="12.75">
      <c r="B12" s="10" t="s">
        <v>25</v>
      </c>
      <c r="C12" s="12"/>
      <c r="D12" s="8">
        <f>SUM(D9:D11)</f>
        <v>-215.33903014155246</v>
      </c>
      <c r="E12" s="13"/>
    </row>
    <row r="13" spans="2:5" ht="12.75">
      <c r="B13" s="15"/>
      <c r="C13" s="16"/>
      <c r="D13" s="17"/>
      <c r="E13" s="13"/>
    </row>
    <row r="14" spans="3:14" ht="12.75">
      <c r="C14" s="4"/>
      <c r="D14" s="5"/>
      <c r="E14" s="5"/>
      <c r="F14" s="5"/>
      <c r="G14" s="5"/>
      <c r="H14" s="147" t="s">
        <v>7</v>
      </c>
      <c r="I14" s="147"/>
      <c r="J14" s="147"/>
      <c r="K14" s="148" t="s">
        <v>21</v>
      </c>
      <c r="L14" s="148"/>
      <c r="M14" s="138" t="s">
        <v>22</v>
      </c>
      <c r="N14" s="138"/>
    </row>
    <row r="15" spans="2:14" ht="12.75">
      <c r="B15" s="10" t="s">
        <v>12</v>
      </c>
      <c r="C15" s="9" t="s">
        <v>1</v>
      </c>
      <c r="D15" s="9" t="s">
        <v>11</v>
      </c>
      <c r="E15" s="9" t="s">
        <v>4</v>
      </c>
      <c r="F15" s="9" t="s">
        <v>5</v>
      </c>
      <c r="G15" s="37" t="s">
        <v>6</v>
      </c>
      <c r="H15" s="52" t="s">
        <v>9</v>
      </c>
      <c r="I15" s="52" t="s">
        <v>8</v>
      </c>
      <c r="J15" s="52" t="s">
        <v>10</v>
      </c>
      <c r="K15" s="41" t="s">
        <v>19</v>
      </c>
      <c r="L15" s="41" t="s">
        <v>20</v>
      </c>
      <c r="M15" s="44" t="s">
        <v>19</v>
      </c>
      <c r="N15" s="44" t="s">
        <v>20</v>
      </c>
    </row>
    <row r="16" spans="2:14" ht="12.75">
      <c r="B16" s="24">
        <v>36160</v>
      </c>
      <c r="C16" s="6">
        <f aca="true" t="shared" si="0" ref="C16:C21">+B17-B16</f>
        <v>2</v>
      </c>
      <c r="D16" s="7" t="s">
        <v>2</v>
      </c>
      <c r="E16" s="29"/>
      <c r="F16" s="29">
        <v>9015.18</v>
      </c>
      <c r="G16" s="50">
        <f>+F16</f>
        <v>9015.18</v>
      </c>
      <c r="H16" s="39">
        <f aca="true" t="shared" si="1" ref="H16:H21">IF(G16&gt;0,G16*C16/100,"")</f>
        <v>180.30360000000002</v>
      </c>
      <c r="I16" s="39">
        <f aca="true" t="shared" si="2" ref="I16:I21">IF(G16&gt;=0,"",IF(G16&gt;-50000,-G16*C16/100,50000*C16/100))</f>
      </c>
      <c r="J16" s="39">
        <f aca="true" t="shared" si="3" ref="J16:J21">IF(G16&lt;-50000,-(G16+50000)*C16/100,"")</f>
      </c>
      <c r="K16" s="42">
        <f aca="true" t="shared" si="4" ref="K16:K21">IF(G16&lt;0,-G16,"")</f>
      </c>
      <c r="L16" s="42">
        <f aca="true" t="shared" si="5" ref="L16:L21">IF(G16&lt;0,IF(G16&lt;-50000,"",50000+G16),50000)</f>
        <v>50000</v>
      </c>
      <c r="M16" s="45">
        <f aca="true" t="shared" si="6" ref="M16:M21">IF(K16="","",+K16*C16)</f>
      </c>
      <c r="N16" s="45">
        <f aca="true" t="shared" si="7" ref="N16:N21">IF(L16="","",+L16*C16)</f>
        <v>100000</v>
      </c>
    </row>
    <row r="17" spans="2:14" ht="12.75">
      <c r="B17" s="24">
        <v>36162</v>
      </c>
      <c r="C17" s="6">
        <f t="shared" si="0"/>
        <v>3</v>
      </c>
      <c r="D17" s="7"/>
      <c r="E17" s="29"/>
      <c r="F17" s="29">
        <v>1500</v>
      </c>
      <c r="G17" s="50">
        <f aca="true" t="shared" si="8" ref="G17:G22">+G16+F17-E17</f>
        <v>10515.18</v>
      </c>
      <c r="H17" s="39">
        <f t="shared" si="1"/>
        <v>315.4554</v>
      </c>
      <c r="I17" s="39">
        <f t="shared" si="2"/>
      </c>
      <c r="J17" s="39">
        <f t="shared" si="3"/>
      </c>
      <c r="K17" s="42">
        <f t="shared" si="4"/>
      </c>
      <c r="L17" s="42">
        <f t="shared" si="5"/>
        <v>50000</v>
      </c>
      <c r="M17" s="45">
        <f t="shared" si="6"/>
      </c>
      <c r="N17" s="45">
        <f t="shared" si="7"/>
        <v>150000</v>
      </c>
    </row>
    <row r="18" spans="2:14" ht="12.75">
      <c r="B18" s="24">
        <v>36165</v>
      </c>
      <c r="C18" s="6">
        <f t="shared" si="0"/>
        <v>5</v>
      </c>
      <c r="D18" s="7"/>
      <c r="E18" s="29">
        <v>20000</v>
      </c>
      <c r="F18" s="29"/>
      <c r="G18" s="50">
        <f t="shared" si="8"/>
        <v>-9484.82</v>
      </c>
      <c r="H18" s="39">
        <f t="shared" si="1"/>
      </c>
      <c r="I18" s="39">
        <f t="shared" si="2"/>
        <v>474.241</v>
      </c>
      <c r="J18" s="39">
        <f t="shared" si="3"/>
      </c>
      <c r="K18" s="42">
        <f t="shared" si="4"/>
        <v>9484.82</v>
      </c>
      <c r="L18" s="42">
        <f t="shared" si="5"/>
        <v>40515.18</v>
      </c>
      <c r="M18" s="45">
        <f t="shared" si="6"/>
        <v>47424.1</v>
      </c>
      <c r="N18" s="45">
        <f t="shared" si="7"/>
        <v>202575.9</v>
      </c>
    </row>
    <row r="19" spans="2:14" ht="12.75">
      <c r="B19" s="24">
        <v>36170</v>
      </c>
      <c r="C19" s="6">
        <f t="shared" si="0"/>
        <v>5</v>
      </c>
      <c r="D19" s="7"/>
      <c r="E19" s="29">
        <v>41000</v>
      </c>
      <c r="F19" s="29"/>
      <c r="G19" s="50">
        <f t="shared" si="8"/>
        <v>-50484.82</v>
      </c>
      <c r="H19" s="39">
        <f t="shared" si="1"/>
      </c>
      <c r="I19" s="39">
        <f t="shared" si="2"/>
        <v>2500</v>
      </c>
      <c r="J19" s="39">
        <f t="shared" si="3"/>
        <v>24.240999999999985</v>
      </c>
      <c r="K19" s="42">
        <f t="shared" si="4"/>
        <v>50484.82</v>
      </c>
      <c r="L19" s="42">
        <f t="shared" si="5"/>
      </c>
      <c r="M19" s="45">
        <f t="shared" si="6"/>
        <v>252424.1</v>
      </c>
      <c r="N19" s="45">
        <f t="shared" si="7"/>
      </c>
    </row>
    <row r="20" spans="2:14" ht="12.75">
      <c r="B20" s="24">
        <v>36175</v>
      </c>
      <c r="C20" s="6">
        <f t="shared" si="0"/>
        <v>13</v>
      </c>
      <c r="D20" s="7"/>
      <c r="E20" s="29"/>
      <c r="F20" s="29">
        <v>6500</v>
      </c>
      <c r="G20" s="50">
        <f t="shared" si="8"/>
        <v>-43984.82</v>
      </c>
      <c r="H20" s="39">
        <f t="shared" si="1"/>
      </c>
      <c r="I20" s="39">
        <f t="shared" si="2"/>
        <v>5718.0266</v>
      </c>
      <c r="J20" s="39">
        <f t="shared" si="3"/>
      </c>
      <c r="K20" s="42">
        <f t="shared" si="4"/>
        <v>43984.82</v>
      </c>
      <c r="L20" s="42">
        <f t="shared" si="5"/>
        <v>6015.18</v>
      </c>
      <c r="M20" s="45">
        <f t="shared" si="6"/>
        <v>571802.66</v>
      </c>
      <c r="N20" s="45">
        <f t="shared" si="7"/>
        <v>78197.34</v>
      </c>
    </row>
    <row r="21" spans="2:14" ht="12.75">
      <c r="B21" s="24">
        <v>36188</v>
      </c>
      <c r="C21" s="6">
        <f t="shared" si="0"/>
        <v>3</v>
      </c>
      <c r="D21" s="7"/>
      <c r="E21" s="29"/>
      <c r="F21" s="29">
        <v>44184.82</v>
      </c>
      <c r="G21" s="50">
        <f t="shared" si="8"/>
        <v>200</v>
      </c>
      <c r="H21" s="39">
        <f t="shared" si="1"/>
        <v>6</v>
      </c>
      <c r="I21" s="39">
        <f t="shared" si="2"/>
      </c>
      <c r="J21" s="39">
        <f t="shared" si="3"/>
      </c>
      <c r="K21" s="42">
        <f t="shared" si="4"/>
      </c>
      <c r="L21" s="42">
        <f t="shared" si="5"/>
        <v>50000</v>
      </c>
      <c r="M21" s="45">
        <f t="shared" si="6"/>
      </c>
      <c r="N21" s="45">
        <f t="shared" si="7"/>
        <v>150000</v>
      </c>
    </row>
    <row r="22" spans="2:14" ht="15">
      <c r="B22" s="24">
        <v>36191</v>
      </c>
      <c r="D22" s="7" t="s">
        <v>3</v>
      </c>
      <c r="E22" s="8">
        <f>-F25</f>
        <v>248.79399791933025</v>
      </c>
      <c r="F22" s="8"/>
      <c r="G22" s="53">
        <f t="shared" si="8"/>
        <v>-48.79399791933025</v>
      </c>
      <c r="H22" s="40">
        <f aca="true" t="shared" si="9" ref="H22:N22">SUM(H16:H21)</f>
        <v>501.759</v>
      </c>
      <c r="I22" s="40">
        <f t="shared" si="9"/>
        <v>8692.2676</v>
      </c>
      <c r="J22" s="40">
        <f t="shared" si="9"/>
        <v>24.240999999999985</v>
      </c>
      <c r="K22" s="43">
        <f t="shared" si="9"/>
        <v>103954.45999999999</v>
      </c>
      <c r="L22" s="43">
        <f t="shared" si="9"/>
        <v>196530.36</v>
      </c>
      <c r="M22" s="46">
        <f t="shared" si="9"/>
        <v>871650.8600000001</v>
      </c>
      <c r="N22" s="46">
        <f t="shared" si="9"/>
        <v>680773.24</v>
      </c>
    </row>
    <row r="23" ht="12.75">
      <c r="C23" s="11">
        <f>SUM(C16:C21)</f>
        <v>31</v>
      </c>
    </row>
    <row r="24" spans="12:14" ht="12.75">
      <c r="L24" s="47" t="s">
        <v>23</v>
      </c>
      <c r="M24" s="47"/>
      <c r="N24" s="48">
        <f>+N22/C23</f>
        <v>21960.427096774194</v>
      </c>
    </row>
    <row r="25" spans="4:14" ht="13.5" thickBot="1">
      <c r="D25" s="135" t="s">
        <v>34</v>
      </c>
      <c r="E25" s="127"/>
      <c r="F25" s="38">
        <f>SUM(F26:F30)</f>
        <v>-248.79399791933025</v>
      </c>
      <c r="L25" s="49" t="s">
        <v>27</v>
      </c>
      <c r="M25" s="47"/>
      <c r="N25" s="48">
        <f>+M22/C23</f>
        <v>28117.769677419357</v>
      </c>
    </row>
    <row r="26" spans="4:14" ht="12.75">
      <c r="D26" s="126" t="s">
        <v>36</v>
      </c>
      <c r="E26" s="127"/>
      <c r="F26" s="36">
        <f>+D9</f>
        <v>3.3817181917808226</v>
      </c>
      <c r="H26" s="139" t="str">
        <f>+K3</f>
        <v>COSTES</v>
      </c>
      <c r="I26" s="140"/>
      <c r="J26" s="143" t="s">
        <v>33</v>
      </c>
      <c r="K26" s="145">
        <f>+M3/N25</f>
        <v>0.008821882830023052</v>
      </c>
      <c r="L26" s="19"/>
      <c r="M26" s="13"/>
      <c r="N26" s="17"/>
    </row>
    <row r="27" spans="4:11" ht="13.5" thickBot="1">
      <c r="D27" s="126" t="s">
        <v>29</v>
      </c>
      <c r="E27" s="127"/>
      <c r="F27" s="36">
        <f>D10</f>
        <v>-217.30668999999995</v>
      </c>
      <c r="H27" s="141" t="str">
        <f>+L25</f>
        <v>Saldo medio dispuesto</v>
      </c>
      <c r="I27" s="142"/>
      <c r="J27" s="144"/>
      <c r="K27" s="146"/>
    </row>
    <row r="28" spans="4:6" ht="13.5" thickBot="1">
      <c r="D28" s="126" t="s">
        <v>35</v>
      </c>
      <c r="E28" s="127"/>
      <c r="F28" s="36">
        <f>+D11</f>
        <v>-1.4140583333333325</v>
      </c>
    </row>
    <row r="29" spans="2:11" ht="13.5" thickBot="1">
      <c r="B29" s="25">
        <v>360</v>
      </c>
      <c r="C29" s="26">
        <v>0.01</v>
      </c>
      <c r="D29" s="131" t="s">
        <v>26</v>
      </c>
      <c r="E29" s="127"/>
      <c r="F29" s="36">
        <f>-N24*C29*C23/B29</f>
        <v>-18.91036777777778</v>
      </c>
      <c r="G29" s="2" t="s">
        <v>21</v>
      </c>
      <c r="H29" s="136" t="s">
        <v>38</v>
      </c>
      <c r="I29" s="137"/>
      <c r="J29" s="33" t="s">
        <v>33</v>
      </c>
      <c r="K29" s="54">
        <f>+(1+K26)^12-1</f>
        <v>0.11115317061065144</v>
      </c>
    </row>
    <row r="30" spans="3:7" ht="12.75">
      <c r="C30" s="26">
        <v>0.03</v>
      </c>
      <c r="D30" s="126" t="s">
        <v>24</v>
      </c>
      <c r="E30" s="127"/>
      <c r="F30" s="36">
        <f>-(-G19-50000)*C30</f>
        <v>-14.54459999999999</v>
      </c>
      <c r="G30" s="3"/>
    </row>
    <row r="31" ht="12.75">
      <c r="D31" s="20"/>
    </row>
    <row r="32" spans="13:15" ht="12.75">
      <c r="M32" s="1"/>
      <c r="N32" s="3"/>
      <c r="O32" s="3"/>
    </row>
    <row r="33" spans="13:15" ht="12.75">
      <c r="M33" s="1"/>
      <c r="N33" s="3"/>
      <c r="O33" s="3"/>
    </row>
    <row r="34" spans="13:15" ht="12.75">
      <c r="M34" s="1"/>
      <c r="N34" s="3"/>
      <c r="O34" s="3"/>
    </row>
    <row r="35" spans="13:15" ht="12.75">
      <c r="M35" s="1"/>
      <c r="N35" s="3"/>
      <c r="O35" s="3"/>
    </row>
    <row r="36" spans="13:15" ht="12.75">
      <c r="M36" s="1"/>
      <c r="N36" s="3"/>
      <c r="O36" s="3"/>
    </row>
    <row r="37" spans="13:15" ht="12.75">
      <c r="M37" s="1"/>
      <c r="N37" s="3"/>
      <c r="O37" s="3"/>
    </row>
    <row r="38" spans="13:15" ht="12.75">
      <c r="M38" s="1"/>
      <c r="N38" s="3"/>
      <c r="O38" s="3"/>
    </row>
    <row r="40" ht="12.75">
      <c r="N40" s="3"/>
    </row>
  </sheetData>
  <sheetProtection/>
  <mergeCells count="23">
    <mergeCell ref="M14:N14"/>
    <mergeCell ref="H26:I26"/>
    <mergeCell ref="H27:I27"/>
    <mergeCell ref="J26:J27"/>
    <mergeCell ref="K26:K27"/>
    <mergeCell ref="H14:J14"/>
    <mergeCell ref="K14:L14"/>
    <mergeCell ref="D27:E27"/>
    <mergeCell ref="D28:E28"/>
    <mergeCell ref="D29:E29"/>
    <mergeCell ref="B3:F3"/>
    <mergeCell ref="D25:E25"/>
    <mergeCell ref="H29:I29"/>
    <mergeCell ref="K6:L6"/>
    <mergeCell ref="K7:L7"/>
    <mergeCell ref="K8:L8"/>
    <mergeCell ref="D1:L1"/>
    <mergeCell ref="H3:I3"/>
    <mergeCell ref="D30:E30"/>
    <mergeCell ref="K3:L3"/>
    <mergeCell ref="K4:L4"/>
    <mergeCell ref="K5:L5"/>
    <mergeCell ref="D26:E26"/>
  </mergeCells>
  <printOptions verticalCentered="1"/>
  <pageMargins left="0.75" right="0.75" top="1" bottom="1" header="0" footer="0"/>
  <pageSetup fitToHeight="1" fitToWidth="1" horizontalDpi="300" verticalDpi="3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www.excelavanzado.com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Adolfo Aparicio</dc:creator>
  <cp:keywords/>
  <dc:description/>
  <cp:lastModifiedBy>Microsoft</cp:lastModifiedBy>
  <cp:lastPrinted>2005-03-06T12:49:22Z</cp:lastPrinted>
  <dcterms:created xsi:type="dcterms:W3CDTF">1999-07-04T06:50:04Z</dcterms:created>
  <dcterms:modified xsi:type="dcterms:W3CDTF">2016-12-06T16:58:07Z</dcterms:modified>
  <cp:category/>
  <cp:version/>
  <cp:contentType/>
  <cp:contentStatus/>
</cp:coreProperties>
</file>