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4620" windowHeight="4005"/>
  </bookViews>
  <sheets>
    <sheet name="Ejercicio 1" sheetId="1" r:id="rId1"/>
    <sheet name="Ejercicio 2" sheetId="2" r:id="rId2"/>
    <sheet name="Ejercico 3" sheetId="3" r:id="rId3"/>
    <sheet name="Ejercicio 4" sheetId="4" r:id="rId4"/>
    <sheet name="Ejercicio 5" sheetId="5" r:id="rId5"/>
  </sheets>
  <calcPr calcId="145621"/>
</workbook>
</file>

<file path=xl/calcChain.xml><?xml version="1.0" encoding="utf-8"?>
<calcChain xmlns="http://schemas.openxmlformats.org/spreadsheetml/2006/main">
  <c r="K29" i="5" l="1"/>
  <c r="I29" i="5"/>
  <c r="H29" i="5"/>
  <c r="G29" i="5"/>
  <c r="K28" i="5"/>
  <c r="J28" i="5"/>
  <c r="I28" i="5"/>
  <c r="K27" i="5"/>
  <c r="J27" i="5"/>
  <c r="I27" i="5"/>
  <c r="E27" i="5"/>
  <c r="J26" i="5"/>
  <c r="K26" i="5" s="1"/>
  <c r="I26" i="5"/>
  <c r="H26" i="5"/>
  <c r="G26" i="5"/>
  <c r="K25" i="5"/>
  <c r="J25" i="5"/>
  <c r="I25" i="5"/>
  <c r="E25" i="5"/>
  <c r="K24" i="5"/>
  <c r="I24" i="5"/>
  <c r="E24" i="5"/>
  <c r="K23" i="5"/>
  <c r="I23" i="5"/>
  <c r="H23" i="5"/>
  <c r="K22" i="5"/>
  <c r="I22" i="5"/>
  <c r="H22" i="5"/>
  <c r="K21" i="5"/>
  <c r="I21" i="5"/>
  <c r="H21" i="5"/>
  <c r="K20" i="5"/>
  <c r="K44" i="4" l="1"/>
  <c r="K43" i="4"/>
  <c r="K42" i="4"/>
  <c r="H44" i="4"/>
  <c r="F44" i="4"/>
  <c r="H43" i="4"/>
  <c r="F43" i="4"/>
  <c r="H42" i="4"/>
  <c r="E41" i="4"/>
  <c r="H40" i="4" l="1"/>
  <c r="E39" i="4"/>
  <c r="K38" i="4"/>
  <c r="I38" i="4"/>
  <c r="H38" i="4"/>
  <c r="E36" i="4"/>
  <c r="K35" i="4"/>
  <c r="H47" i="3" l="1"/>
  <c r="K44" i="3"/>
  <c r="I44" i="3"/>
  <c r="H43" i="3"/>
  <c r="J23" i="3"/>
  <c r="E40" i="3"/>
  <c r="I29" i="3" l="1"/>
  <c r="I28" i="3"/>
  <c r="H28" i="3"/>
  <c r="G28" i="3"/>
  <c r="F28" i="3"/>
  <c r="I27" i="3"/>
  <c r="E27" i="3"/>
  <c r="I26" i="3"/>
  <c r="I25" i="3"/>
  <c r="I24" i="3"/>
  <c r="K23" i="3"/>
  <c r="I23" i="3"/>
  <c r="K22" i="3"/>
  <c r="J22" i="3"/>
  <c r="I22" i="3"/>
  <c r="K21" i="3"/>
  <c r="J21" i="3"/>
  <c r="I21" i="3"/>
  <c r="E21" i="3"/>
  <c r="K20" i="3"/>
  <c r="G24" i="3" l="1"/>
  <c r="G25" i="3" s="1"/>
  <c r="J24" i="3"/>
  <c r="J25" i="3" s="1"/>
  <c r="K25" i="3" s="1"/>
  <c r="J26" i="3" s="1"/>
  <c r="K26" i="3" s="1"/>
  <c r="D26" i="3"/>
  <c r="E26" i="3" s="1"/>
  <c r="H25" i="3"/>
  <c r="H24" i="3"/>
  <c r="E33" i="2"/>
  <c r="E31" i="2"/>
  <c r="E26" i="2"/>
  <c r="K24" i="3" l="1"/>
  <c r="J27" i="3"/>
  <c r="K27" i="3" s="1"/>
  <c r="J28" i="3"/>
  <c r="E15" i="2"/>
  <c r="E13" i="2"/>
  <c r="H11" i="2"/>
  <c r="E8" i="2"/>
  <c r="J7" i="2"/>
  <c r="I7" i="2"/>
  <c r="K7" i="2" s="1"/>
  <c r="G7" i="2"/>
  <c r="H7" i="2" s="1"/>
  <c r="K6" i="2"/>
  <c r="K36" i="1"/>
  <c r="J8" i="2" l="1"/>
  <c r="I8" i="2"/>
  <c r="K28" i="3"/>
  <c r="J29" i="3"/>
  <c r="K29" i="3" s="1"/>
  <c r="K31" i="1"/>
  <c r="H29" i="1"/>
  <c r="H30" i="1"/>
  <c r="H32" i="1"/>
  <c r="H33" i="1"/>
  <c r="H35" i="1"/>
  <c r="H37" i="1"/>
  <c r="H28" i="1"/>
  <c r="E29" i="1"/>
  <c r="E30" i="1"/>
  <c r="E31" i="1"/>
  <c r="E32" i="1"/>
  <c r="E33" i="1"/>
  <c r="E34" i="1"/>
  <c r="E35" i="1"/>
  <c r="E36" i="1"/>
  <c r="E37" i="1"/>
  <c r="E28" i="1"/>
  <c r="G9" i="2" l="1"/>
  <c r="J9" i="2"/>
  <c r="I9" i="2"/>
  <c r="K8" i="2"/>
  <c r="D28" i="2"/>
  <c r="E28" i="2" s="1"/>
  <c r="J14" i="1"/>
  <c r="J15" i="1" s="1"/>
  <c r="J13" i="1"/>
  <c r="G14" i="1" s="1"/>
  <c r="H14" i="1" s="1"/>
  <c r="E10" i="1"/>
  <c r="E11" i="1"/>
  <c r="D13" i="1"/>
  <c r="E13" i="1" s="1"/>
  <c r="I7" i="1"/>
  <c r="K7" i="1" s="1"/>
  <c r="J9" i="1"/>
  <c r="J10" i="1" s="1"/>
  <c r="J11" i="1" s="1"/>
  <c r="J8" i="1"/>
  <c r="G9" i="1" s="1"/>
  <c r="H9" i="1" s="1"/>
  <c r="E8" i="1"/>
  <c r="H7" i="1"/>
  <c r="K6" i="1"/>
  <c r="D10" i="2" l="1"/>
  <c r="E10" i="2" s="1"/>
  <c r="H9" i="2"/>
  <c r="K9" i="2"/>
  <c r="I10" i="2"/>
  <c r="G12" i="1"/>
  <c r="H12" i="1" s="1"/>
  <c r="J12" i="1"/>
  <c r="I8" i="1"/>
  <c r="I9" i="1" s="1"/>
  <c r="I10" i="1" s="1"/>
  <c r="I11" i="1" s="1"/>
  <c r="I12" i="1" s="1"/>
  <c r="I13" i="1" s="1"/>
  <c r="I14" i="1" s="1"/>
  <c r="I15" i="1" s="1"/>
  <c r="K15" i="1" s="1"/>
  <c r="K8" i="1"/>
  <c r="K10" i="2" l="1"/>
  <c r="I11" i="2"/>
  <c r="J10" i="2"/>
  <c r="J11" i="2" s="1"/>
  <c r="K14" i="1"/>
  <c r="K9" i="1"/>
  <c r="K13" i="1"/>
  <c r="K10" i="1"/>
  <c r="G12" i="2" l="1"/>
  <c r="H12" i="2" s="1"/>
  <c r="J12" i="2"/>
  <c r="K11" i="2"/>
  <c r="I12" i="2"/>
  <c r="K11" i="1"/>
  <c r="K12" i="1"/>
  <c r="K12" i="2" l="1"/>
  <c r="J13" i="2" s="1"/>
  <c r="I13" i="2"/>
  <c r="I14" i="2" s="1"/>
  <c r="K13" i="2" l="1"/>
  <c r="G14" i="2"/>
  <c r="H14" i="2" s="1"/>
  <c r="J14" i="2"/>
  <c r="K14" i="2" s="1"/>
  <c r="J15" i="2" s="1"/>
  <c r="J16" i="2" s="1"/>
  <c r="K16" i="2" s="1"/>
  <c r="I15" i="2"/>
  <c r="K15" i="2" l="1"/>
</calcChain>
</file>

<file path=xl/sharedStrings.xml><?xml version="1.0" encoding="utf-8"?>
<sst xmlns="http://schemas.openxmlformats.org/spreadsheetml/2006/main" count="370" uniqueCount="156">
  <si>
    <t>Ficha de control de existencias</t>
  </si>
  <si>
    <t>Número 0001</t>
  </si>
  <si>
    <t>Método de valoración: PRECIO MEDIO PONDERADO</t>
  </si>
  <si>
    <t>Producto:</t>
  </si>
  <si>
    <t>Referencia:</t>
  </si>
  <si>
    <t>Fecha</t>
  </si>
  <si>
    <t>Operación</t>
  </si>
  <si>
    <t>Entradas</t>
  </si>
  <si>
    <t>Unids.</t>
  </si>
  <si>
    <t>Precio</t>
  </si>
  <si>
    <t>Importe</t>
  </si>
  <si>
    <t>Salidas</t>
  </si>
  <si>
    <t>Existencias</t>
  </si>
  <si>
    <t>ELIXIR 1</t>
  </si>
  <si>
    <t>Existencias iniciales</t>
  </si>
  <si>
    <t>Existencias finales</t>
  </si>
  <si>
    <t>Situaciones posibles:</t>
  </si>
  <si>
    <t>Compras</t>
  </si>
  <si>
    <t>Ventas</t>
  </si>
  <si>
    <t>Método de valoración: First Input First Output (FIFO)</t>
  </si>
  <si>
    <t>-</t>
  </si>
  <si>
    <t>Concepto</t>
  </si>
  <si>
    <t xml:space="preserve">100          60        =160                </t>
  </si>
  <si>
    <t>10€        11€             -</t>
  </si>
  <si>
    <t>1000          660        =1660</t>
  </si>
  <si>
    <t>100          30</t>
  </si>
  <si>
    <t>10€        11€</t>
  </si>
  <si>
    <t>1000€     330€</t>
  </si>
  <si>
    <t>330€       360€      =690€</t>
  </si>
  <si>
    <t>30            30          =60</t>
  </si>
  <si>
    <t>11€              12€             -</t>
  </si>
  <si>
    <t>30            30          200      =260</t>
  </si>
  <si>
    <t>11€         12€               9€                   -</t>
  </si>
  <si>
    <t>330€                360€             1800€              =2490€</t>
  </si>
  <si>
    <t xml:space="preserve">30          30        150      </t>
  </si>
  <si>
    <t>11€      12€         9€</t>
  </si>
  <si>
    <t>330€       360€            1350€</t>
  </si>
  <si>
    <t xml:space="preserve">50        200       =250   </t>
  </si>
  <si>
    <t>9€        9,20€         -</t>
  </si>
  <si>
    <t>450€         1840€       =2290€</t>
  </si>
  <si>
    <t>50          110</t>
  </si>
  <si>
    <t>9€      9,20€</t>
  </si>
  <si>
    <t>450€        1012€</t>
  </si>
  <si>
    <t>Número 0002</t>
  </si>
  <si>
    <t>Método de valoración: Precio medio ponderado</t>
  </si>
  <si>
    <t>Devolución ventas</t>
  </si>
  <si>
    <t>Método de valoración FIFO</t>
  </si>
  <si>
    <t>85              85</t>
  </si>
  <si>
    <t xml:space="preserve">49            51   </t>
  </si>
  <si>
    <t>4.165 €          4.335€</t>
  </si>
  <si>
    <t xml:space="preserve"> 25            85    </t>
  </si>
  <si>
    <t>49            51</t>
  </si>
  <si>
    <t>1.225€        4.335€</t>
  </si>
  <si>
    <t>45             85</t>
  </si>
  <si>
    <t>2.205€        4.335€</t>
  </si>
  <si>
    <t>25             85</t>
  </si>
  <si>
    <t>49             51</t>
  </si>
  <si>
    <t xml:space="preserve">1.225€         4.335€   </t>
  </si>
  <si>
    <t>25                5</t>
  </si>
  <si>
    <t>1.225€        255€</t>
  </si>
  <si>
    <t>80             85</t>
  </si>
  <si>
    <t>51        49,50</t>
  </si>
  <si>
    <t>4080€       4207,50€</t>
  </si>
  <si>
    <t>80             50</t>
  </si>
  <si>
    <t>4.080€        2.475€</t>
  </si>
  <si>
    <t>35                  85</t>
  </si>
  <si>
    <t>49,50      52</t>
  </si>
  <si>
    <t>1.732,50€     4.420€</t>
  </si>
  <si>
    <t>35             85</t>
  </si>
  <si>
    <t>B-10</t>
  </si>
  <si>
    <t>XXXXXXXXXX</t>
  </si>
  <si>
    <t>E. INCIALES</t>
  </si>
  <si>
    <t>Compra</t>
  </si>
  <si>
    <t>Factura trans.</t>
  </si>
  <si>
    <t>Dto de compra</t>
  </si>
  <si>
    <t>Incendio</t>
  </si>
  <si>
    <t>Venta</t>
  </si>
  <si>
    <t>Devolución venta</t>
  </si>
  <si>
    <t>Devolución compra</t>
  </si>
  <si>
    <t>E. FINALES</t>
  </si>
  <si>
    <t>Método de valoración: First imput first output (FIFO)</t>
  </si>
  <si>
    <t>400           200</t>
  </si>
  <si>
    <t>24€                        27€</t>
  </si>
  <si>
    <t>9600€               5400€</t>
  </si>
  <si>
    <t>400           200              1000</t>
  </si>
  <si>
    <t>24€                        27€                         25€</t>
  </si>
  <si>
    <t>9600€               5400€                   25000€</t>
  </si>
  <si>
    <t>9600€               5400€                   25100€</t>
  </si>
  <si>
    <t>24€                        27€                         25,10€</t>
  </si>
  <si>
    <t>9600€               5400€                   24800€</t>
  </si>
  <si>
    <t>24€                        27€                         24,80€</t>
  </si>
  <si>
    <t>200           200              1000</t>
  </si>
  <si>
    <t>4800€               5400€                   24800€</t>
  </si>
  <si>
    <t>200               200</t>
  </si>
  <si>
    <t>24€                 27€</t>
  </si>
  <si>
    <t>4800€              5400€</t>
  </si>
  <si>
    <t>1000               100</t>
  </si>
  <si>
    <t>24,80€              24€</t>
  </si>
  <si>
    <t>24800€                 2400€</t>
  </si>
  <si>
    <t>1000               100       100</t>
  </si>
  <si>
    <t>24,80€              24€             26€</t>
  </si>
  <si>
    <t>24800€                 2400€                2600€</t>
  </si>
  <si>
    <t>1000               100        50</t>
  </si>
  <si>
    <t>24800€                 2400€                   1300€</t>
  </si>
  <si>
    <t>Resultado de la operación</t>
  </si>
  <si>
    <t>Observaciones</t>
  </si>
  <si>
    <t>de venta</t>
  </si>
  <si>
    <t>a los precios</t>
  </si>
  <si>
    <t>1000                      2000</t>
  </si>
  <si>
    <t>10€               12€</t>
  </si>
  <si>
    <t>10.000€                     24.000€</t>
  </si>
  <si>
    <t>1000                 500</t>
  </si>
  <si>
    <t>10€                  12€</t>
  </si>
  <si>
    <t>10000€               6000€</t>
  </si>
  <si>
    <t xml:space="preserve">Bº = Vtas * (Pv - Pc) = 1000*(11-10) = 1000€                  Bº = Vtas * (Pv - Pc) =  500*(13,2 - 12) = 600€         </t>
  </si>
  <si>
    <t>Pv = coste + márgen = 10 + (10% * 10) = 11€                         Pv = coste + márgen = 12 + (10% * 12) = 13,20€</t>
  </si>
  <si>
    <t>Bº = Vtas * (Pv - Pc) = 200 * (13,20 - 12) = 240€</t>
  </si>
  <si>
    <t>Pv = coste + márgen = 12 + (10% * 12) = 13,20€</t>
  </si>
  <si>
    <t>1300               600</t>
  </si>
  <si>
    <t>12€                             13€</t>
  </si>
  <si>
    <t>15.600€                         7.800€</t>
  </si>
  <si>
    <t>300                 600</t>
  </si>
  <si>
    <t>12€             13€</t>
  </si>
  <si>
    <t>3.600€                        7.800€</t>
  </si>
  <si>
    <t xml:space="preserve">Bº = Vtas * (Pv - Pc) = 1000*(13,20 - 12) = 1200€                      </t>
  </si>
  <si>
    <t>300                 600                  200</t>
  </si>
  <si>
    <t>12€             13€                     13,50€</t>
  </si>
  <si>
    <t>3.600€                        7.800€                   2.700€</t>
  </si>
  <si>
    <t>Mermas de 1000 unid</t>
  </si>
  <si>
    <t>P.mercado= 80% * 3276 = 2620,80€</t>
  </si>
  <si>
    <t>P.mercado= 80% * 7085 = 5668€</t>
  </si>
  <si>
    <t>P.mercado= 80% * 2457 = 1965,60€</t>
  </si>
  <si>
    <t>PRECIO MEDIO PONDERADO</t>
  </si>
  <si>
    <t>Unidades</t>
  </si>
  <si>
    <t>Resultado de la operación de venta</t>
  </si>
  <si>
    <t>Observaciones de los precios</t>
  </si>
  <si>
    <t>1 de julio</t>
  </si>
  <si>
    <t>2 de julio</t>
  </si>
  <si>
    <t>Pv = coste + márgen = 400 + (12,5% * 400) = 450</t>
  </si>
  <si>
    <t>Bº = Vtas * (Pv - Pc) = 45 * (450 - 400) = 2250€</t>
  </si>
  <si>
    <t>16 de julio</t>
  </si>
  <si>
    <t>Bº = Vtas * (Pv - Pc) = 36 * (450 - 400) = 1800€</t>
  </si>
  <si>
    <t>28 de julio</t>
  </si>
  <si>
    <t>Bº = Vtas * (Pv - Pc) = 160* (450 - 400) = 8000€</t>
  </si>
  <si>
    <t>30 de julio</t>
  </si>
  <si>
    <t>Devolucion vtas</t>
  </si>
  <si>
    <t>10 de agosto</t>
  </si>
  <si>
    <t>15 de agosto</t>
  </si>
  <si>
    <t>Pv = coste + márgen = 453,14 + (12,5% * 453,14) = 509,78€</t>
  </si>
  <si>
    <t>Bº = Vtas * (Pv - Pc) = 65* (509,78 - 453,14) = 3681,60</t>
  </si>
  <si>
    <t>15 de Sept</t>
  </si>
  <si>
    <t>Gastos Transporte</t>
  </si>
  <si>
    <t>30 de Sept</t>
  </si>
  <si>
    <t>Merma</t>
  </si>
  <si>
    <t>El precio de compra será el siguiente: 
Precio del transporte+ Precio de la compra=
  550+1000/140= 550+7,14=557,14</t>
  </si>
  <si>
    <t>Precio mercado= 0,95x972.043,39=923441,22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</si>
</sst>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8" formatCode="#,##0.00\ &quot;€&quot;;[Red]\-#,##0.00\ &quot;€&quot;"/>
    <numFmt numFmtId="44" formatCode="_-* #,##0.00\ &quot;€&quot;_-;\-* #,##0.00\ &quot;€&quot;_-;_-* &quot;-&quot;??\ &quot;€&quot;_-;_-@_-"/>
    <numFmt numFmtId="164" formatCode="#,##0.00\ &quot;€&quot;"/>
    <numFmt numFmtId="165" formatCode="#,##0\ &quot;€&quot;"/>
    <numFmt numFmtId="166" formatCode="_-* #,##0.00\ [$€-C0A]_-;\-* #,##0.00\ [$€-C0A]_-;_-* &quot;-&quot;??\ [$€-C0A]_-;_-@_-"/>
  </numFmts>
  <fonts count="3" x14ac:knownFonts="1">
    <font>
      <sz val="11"/>
      <color theme="1"/>
      <name val="Calibri"/>
      <family val="2"/>
      <scheme val="minor"/>
    </font>
    <font>
      <sz val="12"/>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44" fontId="2" fillId="0" borderId="0" applyFont="0" applyFill="0" applyBorder="0" applyAlignment="0" applyProtection="0"/>
  </cellStyleXfs>
  <cellXfs count="85">
    <xf numFmtId="0" fontId="0" fillId="0" borderId="0" xfId="0"/>
    <xf numFmtId="0" fontId="0" fillId="2" borderId="3" xfId="0" applyFill="1" applyBorder="1"/>
    <xf numFmtId="0" fontId="0" fillId="2" borderId="4" xfId="0" applyFill="1" applyBorder="1"/>
    <xf numFmtId="0" fontId="0" fillId="0" borderId="5" xfId="0" applyBorder="1"/>
    <xf numFmtId="0" fontId="0" fillId="0" borderId="6"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6" fontId="0" fillId="0" borderId="1" xfId="0" applyNumberFormat="1" applyBorder="1" applyAlignment="1">
      <alignment horizontal="center" vertical="center"/>
    </xf>
    <xf numFmtId="164" fontId="0" fillId="0" borderId="1" xfId="0" applyNumberFormat="1" applyBorder="1" applyAlignment="1">
      <alignment horizontal="center" vertical="center"/>
    </xf>
    <xf numFmtId="165" fontId="0" fillId="0" borderId="1" xfId="0" applyNumberFormat="1"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7" xfId="0" applyFill="1" applyBorder="1" applyAlignment="1">
      <alignment horizontal="center" vertical="center"/>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8" fontId="0" fillId="0" borderId="1" xfId="0" applyNumberFormat="1" applyBorder="1" applyAlignment="1">
      <alignment horizontal="center" vertical="center"/>
    </xf>
    <xf numFmtId="0" fontId="0" fillId="2" borderId="1" xfId="0" applyFill="1" applyBorder="1"/>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xf>
    <xf numFmtId="14" fontId="0" fillId="2" borderId="1" xfId="0" applyNumberFormat="1" applyFill="1" applyBorder="1" applyAlignment="1">
      <alignment horizontal="center" vertical="center"/>
    </xf>
    <xf numFmtId="0" fontId="0" fillId="0" borderId="1" xfId="0" applyBorder="1" applyAlignment="1">
      <alignment horizontal="center" vertical="center"/>
    </xf>
    <xf numFmtId="6"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0" fillId="2" borderId="1" xfId="0" applyFill="1" applyBorder="1" applyAlignment="1">
      <alignment wrapText="1"/>
    </xf>
    <xf numFmtId="164" fontId="0" fillId="2" borderId="1" xfId="0" applyNumberFormat="1" applyFill="1"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xf numFmtId="14" fontId="0" fillId="0" borderId="1" xfId="0" applyNumberFormat="1" applyBorder="1"/>
    <xf numFmtId="164" fontId="0" fillId="0" borderId="1" xfId="0" applyNumberFormat="1" applyBorder="1"/>
    <xf numFmtId="6" fontId="0" fillId="0" borderId="1" xfId="0" applyNumberFormat="1" applyBorder="1"/>
    <xf numFmtId="164" fontId="0" fillId="3" borderId="1" xfId="0" applyNumberFormat="1" applyFill="1" applyBorder="1"/>
    <xf numFmtId="6" fontId="0" fillId="4" borderId="1" xfId="0" applyNumberFormat="1" applyFill="1" applyBorder="1"/>
    <xf numFmtId="0" fontId="0" fillId="2" borderId="2" xfId="0" applyFill="1" applyBorder="1" applyAlignment="1">
      <alignment horizontal="left"/>
    </xf>
    <xf numFmtId="0" fontId="0" fillId="2" borderId="3" xfId="0" applyFill="1" applyBorder="1" applyAlignment="1">
      <alignment horizontal="left"/>
    </xf>
    <xf numFmtId="0" fontId="0" fillId="2" borderId="3" xfId="0" applyFill="1" applyBorder="1" applyAlignment="1">
      <alignment horizontal="center"/>
    </xf>
    <xf numFmtId="0" fontId="0" fillId="2" borderId="4" xfId="0" applyFill="1"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Border="1" applyAlignment="1">
      <alignment wrapText="1"/>
    </xf>
    <xf numFmtId="164" fontId="0" fillId="0" borderId="0" xfId="0" applyNumberFormat="1" applyBorder="1" applyAlignment="1">
      <alignment wrapText="1"/>
    </xf>
    <xf numFmtId="6"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6" fontId="0" fillId="5" borderId="1" xfId="0" applyNumberForma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1" fillId="0" borderId="8" xfId="0" applyFont="1" applyBorder="1" applyAlignment="1">
      <alignment horizontal="center" vertical="center"/>
    </xf>
    <xf numFmtId="0" fontId="1" fillId="0" borderId="9" xfId="0" applyFont="1" applyFill="1" applyBorder="1" applyAlignment="1">
      <alignment horizontal="center" vertical="center"/>
    </xf>
    <xf numFmtId="0" fontId="0" fillId="0" borderId="1" xfId="0" applyBorder="1" applyAlignment="1">
      <alignment horizontal="center" vertical="center"/>
    </xf>
    <xf numFmtId="8" fontId="0" fillId="0" borderId="1" xfId="0" applyNumberFormat="1" applyBorder="1"/>
    <xf numFmtId="1" fontId="0" fillId="0" borderId="1" xfId="0" applyNumberFormat="1" applyBorder="1"/>
    <xf numFmtId="1" fontId="0" fillId="0" borderId="1" xfId="0" applyNumberFormat="1" applyBorder="1" applyAlignment="1">
      <alignment wrapText="1"/>
    </xf>
    <xf numFmtId="6" fontId="0" fillId="0" borderId="1" xfId="0" applyNumberFormat="1" applyBorder="1" applyAlignment="1">
      <alignment wrapText="1"/>
    </xf>
    <xf numFmtId="166" fontId="0" fillId="0" borderId="1" xfId="1" applyNumberFormat="1" applyFont="1" applyBorder="1" applyAlignment="1">
      <alignment horizontal="center" vertical="center"/>
    </xf>
    <xf numFmtId="166" fontId="0" fillId="0" borderId="1" xfId="1" applyNumberFormat="1" applyFont="1" applyBorder="1" applyAlignment="1">
      <alignment horizontal="center" vertical="center" wrapText="1"/>
    </xf>
    <xf numFmtId="0" fontId="0" fillId="0" borderId="3" xfId="0" applyBorder="1" applyAlignment="1"/>
    <xf numFmtId="0" fontId="1" fillId="0" borderId="8" xfId="0" applyFont="1" applyBorder="1" applyAlignment="1">
      <alignment horizontal="center" vertical="center" wrapText="1"/>
    </xf>
    <xf numFmtId="166" fontId="0" fillId="0" borderId="1" xfId="0" applyNumberFormat="1" applyBorder="1" applyAlignment="1">
      <alignment horizontal="center" vertical="center" wrapText="1"/>
    </xf>
    <xf numFmtId="6" fontId="0" fillId="6" borderId="1" xfId="0" applyNumberFormat="1" applyFill="1" applyBorder="1" applyAlignment="1">
      <alignment horizontal="center" vertical="center"/>
    </xf>
    <xf numFmtId="0" fontId="0" fillId="0" borderId="1" xfId="0" applyBorder="1" applyAlignment="1">
      <alignment horizontal="center"/>
    </xf>
    <xf numFmtId="8" fontId="0" fillId="0" borderId="1" xfId="0" applyNumberFormat="1" applyBorder="1" applyAlignment="1">
      <alignment horizontal="center"/>
    </xf>
    <xf numFmtId="166" fontId="0" fillId="0" borderId="1" xfId="0" applyNumberFormat="1" applyBorder="1" applyAlignment="1">
      <alignment horizontal="center"/>
    </xf>
    <xf numFmtId="0" fontId="0" fillId="0" borderId="1" xfId="0" applyBorder="1" applyAlignment="1">
      <alignment horizontal="center" vertical="center"/>
    </xf>
    <xf numFmtId="0" fontId="0" fillId="2" borderId="2" xfId="0" applyFill="1" applyBorder="1" applyAlignment="1">
      <alignment horizontal="left"/>
    </xf>
    <xf numFmtId="0" fontId="0" fillId="2" borderId="3" xfId="0" applyFill="1" applyBorder="1" applyAlignment="1">
      <alignment horizontal="left"/>
    </xf>
    <xf numFmtId="0" fontId="0" fillId="2" borderId="3" xfId="0" applyFill="1" applyBorder="1" applyAlignment="1">
      <alignment horizontal="center"/>
    </xf>
    <xf numFmtId="0" fontId="0" fillId="2" borderId="4" xfId="0" applyFill="1"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8" xfId="0" applyBorder="1" applyAlignment="1">
      <alignment horizontal="center" wrapText="1"/>
    </xf>
    <xf numFmtId="0" fontId="0" fillId="0" borderId="9"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222250</xdr:colOff>
      <xdr:row>18</xdr:row>
      <xdr:rowOff>10584</xdr:rowOff>
    </xdr:from>
    <xdr:to>
      <xdr:col>18</xdr:col>
      <xdr:colOff>211667</xdr:colOff>
      <xdr:row>30</xdr:row>
      <xdr:rowOff>169334</xdr:rowOff>
    </xdr:to>
    <xdr:sp macro="" textlink="">
      <xdr:nvSpPr>
        <xdr:cNvPr id="2" name="1 CuadroTexto"/>
        <xdr:cNvSpPr txBox="1"/>
      </xdr:nvSpPr>
      <xdr:spPr>
        <a:xfrm>
          <a:off x="8159750" y="3439584"/>
          <a:ext cx="4286250" cy="282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ES" sz="1100" b="1">
              <a:solidFill>
                <a:schemeClr val="dk1"/>
              </a:solidFill>
              <a:effectLst/>
              <a:latin typeface="+mn-lt"/>
              <a:ea typeface="+mn-ea"/>
              <a:cs typeface="+mn-cs"/>
            </a:rPr>
            <a:t>La empresa ARMUNIA I comercializa el producto ELIXIR I. El día 31 de marzo tenía en el almacén 200 unidades de producto, adquiridas en 1 solo lote a 10 € unidad. Durante el mes abril se producen las siguientes operaciones:</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–Día 4: venta de 100 unidades a 22 €.</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–Día 7: compra de 60 unidades a 11 €.</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–Día 10: venta de 130 unidades a 23 €.</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–Día 11: compra de 30 unidades a 12 €.</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–Día 16: compra de 200 unidades a 9 €.</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–Día 19: venta de 210 unidades.</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–Día 26: compra de 200 unidades a 9,20 €.</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–Día 29: venta de 160 unidades.</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Calcula el valor de las existencias finales aplicando los 2 métodos permitidos por el Plan General de Contabilidad.</a:t>
          </a:r>
          <a:endParaRPr lang="es-ES" sz="1100">
            <a:solidFill>
              <a:schemeClr val="dk1"/>
            </a:solidFill>
            <a:effectLst/>
            <a:latin typeface="+mn-lt"/>
            <a:ea typeface="+mn-ea"/>
            <a:cs typeface="+mn-cs"/>
          </a:endParaRPr>
        </a:p>
        <a:p>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341923</xdr:colOff>
      <xdr:row>1</xdr:row>
      <xdr:rowOff>122116</xdr:rowOff>
    </xdr:from>
    <xdr:to>
      <xdr:col>21</xdr:col>
      <xdr:colOff>232019</xdr:colOff>
      <xdr:row>18</xdr:row>
      <xdr:rowOff>12213</xdr:rowOff>
    </xdr:to>
    <xdr:sp macro="" textlink="">
      <xdr:nvSpPr>
        <xdr:cNvPr id="2" name="1 CuadroTexto"/>
        <xdr:cNvSpPr txBox="1"/>
      </xdr:nvSpPr>
      <xdr:spPr>
        <a:xfrm>
          <a:off x="8340481" y="317501"/>
          <a:ext cx="6203461" cy="3761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ES" sz="1100" b="1">
              <a:solidFill>
                <a:schemeClr val="dk1"/>
              </a:solidFill>
              <a:effectLst/>
              <a:latin typeface="+mn-lt"/>
              <a:ea typeface="+mn-ea"/>
              <a:cs typeface="+mn-cs"/>
            </a:rPr>
            <a:t>Una empresa comercial que vende sillas de oficina con referencia SOM-9832 realiza los siguientes movimientos en el segundo trimestre del año:</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–Existencias finales del periodo anterior: 95 unidades a 49 €/unidad.</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–Día 7 de abril: venta de 10 unidades a 79 €/unidad.</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–Día 18 de abril: compra de 85 unidades a 51 €/unidad.</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–Día 24 de abril: venta de 60 unidades a 80 €/unidad.</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–Día 2 de mayo: devolución de 20 unidades de la última venta.</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–Día 6 de mayo: venta de 20 unidades a 80 €/unidad.</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–Día 14 mayo: venta de 30 unidades a 85 €/unidad.</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–Día 16 de mayo: compra de 85 unidades a 49,50 €/unidad.</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–Día 5 de junio: venta de 130 unidades a 81 €/unidad.</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–Día 16 de junio: compra de 85 unidades a 52 €/unidad.</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Teniendo en cuenta que esta empresa controla el almacén de forma trimestral, es decir, que el periodo para el que se hace la ficha de almacén es de 3 meses, realiza las siguientes tareas:</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a) Indica cuál de los 2 métodos de valoración de existencias es el adecuado.</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b) Confecciona una ficha de almacén por cada método.</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c) Comenta los resultados y explica, en caso de que existan, el porqué de las diferencias entre los 2 métodos.</a:t>
          </a:r>
          <a:endParaRPr lang="es-ES"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743160</xdr:colOff>
      <xdr:row>14</xdr:row>
      <xdr:rowOff>0</xdr:rowOff>
    </xdr:to>
    <xdr:sp macro="" textlink="">
      <xdr:nvSpPr>
        <xdr:cNvPr id="2" name="1 CuadroTexto"/>
        <xdr:cNvSpPr txBox="1"/>
      </xdr:nvSpPr>
      <xdr:spPr>
        <a:xfrm>
          <a:off x="0" y="0"/>
          <a:ext cx="7871209" cy="26376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a:t>Las</a:t>
          </a:r>
          <a:r>
            <a:rPr lang="es-ES" sz="1100" baseline="0"/>
            <a:t> existencias a 1 de junio del producto B-10 son las siguientes, según los diferenres métodos de valoración:</a:t>
          </a:r>
        </a:p>
        <a:p>
          <a:r>
            <a:rPr lang="es-ES" sz="1100" baseline="0"/>
            <a:t>- PMP: 600 unidades a 25€/unidad.</a:t>
          </a:r>
        </a:p>
        <a:p>
          <a:r>
            <a:rPr lang="es-ES" sz="1100" baseline="0"/>
            <a:t>- FIFO: 400 unidades a 24€/unidad y 200 unidades a 27€.</a:t>
          </a:r>
        </a:p>
        <a:p>
          <a:r>
            <a:rPr lang="es-ES" sz="1100" baseline="0"/>
            <a:t>El producto B-10, durante el mes de junio, experimenta las siguientes situaciones en el almacén de la empresa:</a:t>
          </a:r>
        </a:p>
        <a:p>
          <a:r>
            <a:rPr lang="es-ES" sz="1100" baseline="0"/>
            <a:t>- Día 4: compra de 1,000 unidades a 25€/unidad.</a:t>
          </a:r>
        </a:p>
        <a:p>
          <a:r>
            <a:rPr lang="es-ES" sz="1100" baseline="0"/>
            <a:t>- Día 5: factura de 100€ por el transporte de la compra anterior.</a:t>
          </a:r>
        </a:p>
        <a:p>
          <a:r>
            <a:rPr lang="es-ES" sz="1100" baseline="0"/>
            <a:t>- Día 5: descuento sobre la compra anterior de 300€.</a:t>
          </a:r>
        </a:p>
        <a:p>
          <a:r>
            <a:rPr lang="es-ES" sz="1100" baseline="0"/>
            <a:t>- Día 9: en el almacén hay un pequeño incendio en el que se deterioran de forma irreparable 200 unidades de producto.</a:t>
          </a:r>
        </a:p>
        <a:p>
          <a:r>
            <a:rPr lang="es-ES" sz="1100" baseline="0"/>
            <a:t>- Día 10: salida por ventas de 400 unidades.</a:t>
          </a:r>
        </a:p>
        <a:p>
          <a:r>
            <a:rPr lang="es-ES" sz="1100" baseline="0"/>
            <a:t>- Día 18: recibe una devolución de las ventas del día 10 de 100 unidades, ya que el orden de extracción contenía un error de 100 unidades de más.</a:t>
          </a:r>
        </a:p>
        <a:p>
          <a:r>
            <a:rPr lang="es-ES" sz="1100" baseline="0"/>
            <a:t>- Día 23: compras de 100 unidades a 26€/unidad.</a:t>
          </a:r>
        </a:p>
        <a:p>
          <a:r>
            <a:rPr lang="es-ES" sz="1100" baseline="0"/>
            <a:t>- Día 28: al revisar las unidades de la última compra se comprueba que la mitad no corresponde con la mercanía pedida y se devuelve.</a:t>
          </a:r>
        </a:p>
        <a:p>
          <a:r>
            <a:rPr lang="es-ES" sz="1100" baseline="0"/>
            <a:t>Realiza la ficha del almacén utilizando el método de valoración PMP.</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1</xdr:row>
      <xdr:rowOff>161925</xdr:rowOff>
    </xdr:from>
    <xdr:to>
      <xdr:col>8</xdr:col>
      <xdr:colOff>447675</xdr:colOff>
      <xdr:row>27</xdr:row>
      <xdr:rowOff>28575</xdr:rowOff>
    </xdr:to>
    <xdr:sp macro="" textlink="">
      <xdr:nvSpPr>
        <xdr:cNvPr id="2" name="1 CuadroTexto"/>
        <xdr:cNvSpPr txBox="1"/>
      </xdr:nvSpPr>
      <xdr:spPr>
        <a:xfrm>
          <a:off x="238125" y="352425"/>
          <a:ext cx="6305550" cy="481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PROMOMAX, S.L.</a:t>
          </a:r>
          <a:r>
            <a:rPr lang="es-ES" sz="1100" baseline="0"/>
            <a:t> es una sociedad de logística que tiene entre sus clientes a herbolarios. Desde su único almacén distribuye los productos de herbolario almacenados a las tiendas repartidas por la localidad. PROMOMAX, S.L  tiene almacenado un producto estrella de infusiones que requiere un sistema de valoracion FIFO debido al escaso margen de caducidad del producto. PROMOMAX, S.L  trabaja con un margen de beneficio en este producto del 10%. Durante el segundo trimestre se han realizado las siguientes operaciones de compraventa entre PROMOMAX, S.L y los herbolarios de la zona:</a:t>
          </a:r>
        </a:p>
        <a:p>
          <a:endParaRPr lang="es-ES" sz="1100" baseline="0"/>
        </a:p>
        <a:p>
          <a:r>
            <a:rPr lang="es-ES" sz="1100" baseline="0"/>
            <a:t>-1 de abril. Existencias iniciales: 1000 cajas de infusiones a 10€ la caja</a:t>
          </a:r>
        </a:p>
        <a:p>
          <a:r>
            <a:rPr lang="es-ES" sz="1100" baseline="0"/>
            <a:t>-15 abril. Compra de 2000 cajas de 12€ la caja</a:t>
          </a:r>
        </a:p>
        <a:p>
          <a:r>
            <a:rPr lang="es-ES" sz="1100" baseline="0"/>
            <a:t>-30 abril. Venta de 1500 cajas</a:t>
          </a:r>
        </a:p>
        <a:p>
          <a:r>
            <a:rPr lang="es-ES" sz="1100" baseline="0"/>
            <a:t>-2 mayo. Venta de 200 cajas</a:t>
          </a:r>
        </a:p>
        <a:p>
          <a:r>
            <a:rPr lang="es-ES" sz="1100" baseline="0"/>
            <a:t>-10 mayo. compra de 600 cajas a 13€ la caja.</a:t>
          </a:r>
        </a:p>
        <a:p>
          <a:r>
            <a:rPr lang="es-ES" sz="1100" baseline="0"/>
            <a:t>-30 mayo. Venta de 1000 cajas</a:t>
          </a:r>
        </a:p>
        <a:p>
          <a:r>
            <a:rPr lang="es-ES" sz="1100" baseline="0"/>
            <a:t>-25 junio. Compra de 200 cajas a 13,5€ la caja.</a:t>
          </a:r>
        </a:p>
        <a:p>
          <a:endParaRPr lang="es-ES" sz="1100" baseline="0"/>
        </a:p>
        <a:p>
          <a:r>
            <a:rPr lang="es-ES" sz="1100" baseline="0"/>
            <a:t>El 30 de junio PROMOMAX,S.L  realiza el inventario y cuenta 1000 unidades. Ante las posibles mermas decide reducir las unidades almacenadas en proporcion al número de unidades totales que hay tras la compra del 25 de junio. Igualmente un estudio de mercado revela que las unidades almacenadas se valoran en el mercado a un 80%.</a:t>
          </a:r>
        </a:p>
        <a:p>
          <a:endParaRPr lang="es-ES" sz="1100" baseline="0"/>
        </a:p>
        <a:p>
          <a:r>
            <a:rPr lang="es-ES" sz="1100" baseline="0"/>
            <a:t>Se pide:</a:t>
          </a:r>
        </a:p>
        <a:p>
          <a:r>
            <a:rPr lang="es-ES" sz="1100" baseline="0"/>
            <a:t>a) Ficha de almacen empleando el método de valoración de existencias FIFO.</a:t>
          </a:r>
        </a:p>
        <a:p>
          <a:r>
            <a:rPr lang="es-ES" sz="1100" baseline="0"/>
            <a:t>b) Cálculo de los resultados de las operaciones de venta.</a:t>
          </a:r>
        </a:p>
        <a:p>
          <a:r>
            <a:rPr lang="es-ES" sz="1100" baseline="0"/>
            <a:t>c) Valoración final de las existencias y comparación con la valoracíón del mercado.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158750</xdr:colOff>
      <xdr:row>1</xdr:row>
      <xdr:rowOff>10583</xdr:rowOff>
    </xdr:from>
    <xdr:to>
      <xdr:col>12</xdr:col>
      <xdr:colOff>1598084</xdr:colOff>
      <xdr:row>11</xdr:row>
      <xdr:rowOff>148167</xdr:rowOff>
    </xdr:to>
    <xdr:sp macro="" textlink="">
      <xdr:nvSpPr>
        <xdr:cNvPr id="2" name="1 CuadroTexto"/>
        <xdr:cNvSpPr txBox="1"/>
      </xdr:nvSpPr>
      <xdr:spPr>
        <a:xfrm>
          <a:off x="158750" y="201083"/>
          <a:ext cx="13610167" cy="2042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cap="all">
              <a:solidFill>
                <a:schemeClr val="dk1"/>
              </a:solidFill>
              <a:effectLst/>
              <a:latin typeface="+mn-lt"/>
              <a:ea typeface="+mn-ea"/>
              <a:cs typeface="+mn-cs"/>
            </a:rPr>
            <a:t>Mc TIVI</a:t>
          </a:r>
          <a:r>
            <a:rPr lang="es-ES" sz="1100" b="1">
              <a:solidFill>
                <a:schemeClr val="dk1"/>
              </a:solidFill>
              <a:effectLst/>
              <a:latin typeface="+mn-lt"/>
              <a:ea typeface="+mn-ea"/>
              <a:cs typeface="+mn-cs"/>
            </a:rPr>
            <a:t>, SL es una tienda de electrodomésticos. Al comienzo del tercer trimestre realizó un inventario de los televisores que almacena y resulta que posee 1.200 unidades valoradas en 400 €/ud. </a:t>
          </a:r>
          <a:r>
            <a:rPr lang="es-ES" sz="1100" b="1" cap="all">
              <a:solidFill>
                <a:schemeClr val="dk1"/>
              </a:solidFill>
              <a:effectLst/>
              <a:latin typeface="+mn-lt"/>
              <a:ea typeface="+mn-ea"/>
              <a:cs typeface="+mn-cs"/>
            </a:rPr>
            <a:t>Mc TIVI</a:t>
          </a:r>
          <a:r>
            <a:rPr lang="es-ES" sz="1100" b="1">
              <a:solidFill>
                <a:schemeClr val="dk1"/>
              </a:solidFill>
              <a:effectLst/>
              <a:latin typeface="+mn-lt"/>
              <a:ea typeface="+mn-ea"/>
              <a:cs typeface="+mn-cs"/>
            </a:rPr>
            <a:t> trabaja con margen comercial sobre coste del 12,50%. Durante el tercer trimestre realizó las siguientes operaciones de compraventa de televisores:</a:t>
          </a:r>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ES" sz="1100" b="1">
              <a:solidFill>
                <a:schemeClr val="dk1"/>
              </a:solidFill>
              <a:effectLst/>
              <a:latin typeface="+mn-lt"/>
              <a:ea typeface="+mn-ea"/>
              <a:cs typeface="+mn-cs"/>
            </a:rPr>
            <a:t>2 de julio: vende 45 unidades.</a:t>
          </a:r>
          <a:endParaRPr lang="es-ES" sz="1100">
            <a:solidFill>
              <a:schemeClr val="dk1"/>
            </a:solidFill>
            <a:effectLst/>
            <a:latin typeface="+mn-lt"/>
            <a:ea typeface="+mn-ea"/>
            <a:cs typeface="+mn-cs"/>
          </a:endParaRPr>
        </a:p>
        <a:p>
          <a:pPr lvl="0"/>
          <a:r>
            <a:rPr lang="es-ES" sz="1100" b="1">
              <a:solidFill>
                <a:schemeClr val="dk1"/>
              </a:solidFill>
              <a:effectLst/>
              <a:latin typeface="+mn-lt"/>
              <a:ea typeface="+mn-ea"/>
              <a:cs typeface="+mn-cs"/>
            </a:rPr>
            <a:t>16 de julio: vende 36 unidades.</a:t>
          </a:r>
          <a:endParaRPr lang="es-ES" sz="1100">
            <a:solidFill>
              <a:schemeClr val="dk1"/>
            </a:solidFill>
            <a:effectLst/>
            <a:latin typeface="+mn-lt"/>
            <a:ea typeface="+mn-ea"/>
            <a:cs typeface="+mn-cs"/>
          </a:endParaRPr>
        </a:p>
        <a:p>
          <a:pPr lvl="0"/>
          <a:r>
            <a:rPr lang="es-ES" sz="1100" b="1">
              <a:solidFill>
                <a:schemeClr val="dk1"/>
              </a:solidFill>
              <a:effectLst/>
              <a:latin typeface="+mn-lt"/>
              <a:ea typeface="+mn-ea"/>
              <a:cs typeface="+mn-cs"/>
            </a:rPr>
            <a:t>28 de julio: vende 160 unidades.</a:t>
          </a:r>
          <a:endParaRPr lang="es-ES" sz="1100">
            <a:solidFill>
              <a:schemeClr val="dk1"/>
            </a:solidFill>
            <a:effectLst/>
            <a:latin typeface="+mn-lt"/>
            <a:ea typeface="+mn-ea"/>
            <a:cs typeface="+mn-cs"/>
          </a:endParaRPr>
        </a:p>
        <a:p>
          <a:pPr lvl="0"/>
          <a:r>
            <a:rPr lang="es-ES" sz="1100" b="1">
              <a:solidFill>
                <a:schemeClr val="dk1"/>
              </a:solidFill>
              <a:effectLst/>
              <a:latin typeface="+mn-lt"/>
              <a:ea typeface="+mn-ea"/>
              <a:cs typeface="+mn-cs"/>
            </a:rPr>
            <a:t>30 de julio: se devuelven de la operación anterior 95 televisores.</a:t>
          </a:r>
          <a:endParaRPr lang="es-ES" sz="1100">
            <a:solidFill>
              <a:schemeClr val="dk1"/>
            </a:solidFill>
            <a:effectLst/>
            <a:latin typeface="+mn-lt"/>
            <a:ea typeface="+mn-ea"/>
            <a:cs typeface="+mn-cs"/>
          </a:endParaRPr>
        </a:p>
        <a:p>
          <a:pPr lvl="0"/>
          <a:r>
            <a:rPr lang="es-ES" sz="1100" b="1">
              <a:solidFill>
                <a:schemeClr val="dk1"/>
              </a:solidFill>
              <a:effectLst/>
              <a:latin typeface="+mn-lt"/>
              <a:ea typeface="+mn-ea"/>
              <a:cs typeface="+mn-cs"/>
            </a:rPr>
            <a:t>10 de agosto: compra 985 unidades a 510 €/ud. </a:t>
          </a:r>
        </a:p>
        <a:p>
          <a:pPr lvl="0"/>
          <a:r>
            <a:rPr lang="es-ES" sz="1100" b="1">
              <a:solidFill>
                <a:schemeClr val="dk1"/>
              </a:solidFill>
              <a:effectLst/>
              <a:latin typeface="+mn-lt"/>
              <a:ea typeface="+mn-ea"/>
              <a:cs typeface="+mn-cs"/>
            </a:rPr>
            <a:t>15 de agosto: vende 65 unidades.</a:t>
          </a:r>
          <a:endParaRPr lang="es-E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ES" sz="1100" b="1">
              <a:solidFill>
                <a:schemeClr val="dk1"/>
              </a:solidFill>
              <a:effectLst/>
              <a:latin typeface="+mn-lt"/>
              <a:ea typeface="+mn-ea"/>
              <a:cs typeface="+mn-cs"/>
            </a:rPr>
            <a:t>15 de septiembre: compra 140 unidades a 550 €/ud. Igual que en la compra anterior, </a:t>
          </a:r>
          <a:r>
            <a:rPr lang="es-ES" sz="1100" b="1" cap="all">
              <a:solidFill>
                <a:schemeClr val="dk1"/>
              </a:solidFill>
              <a:effectLst/>
              <a:latin typeface="+mn-lt"/>
              <a:ea typeface="+mn-ea"/>
              <a:cs typeface="+mn-cs"/>
            </a:rPr>
            <a:t>Mc TIVI</a:t>
          </a:r>
          <a:r>
            <a:rPr lang="es-ES" sz="1100" b="1">
              <a:solidFill>
                <a:schemeClr val="dk1"/>
              </a:solidFill>
              <a:effectLst/>
              <a:latin typeface="+mn-lt"/>
              <a:ea typeface="+mn-ea"/>
              <a:cs typeface="+mn-cs"/>
            </a:rPr>
            <a:t> paga el transporte, que asciende a 1 000 € más IVA.</a:t>
          </a:r>
          <a:endParaRPr lang="es-ES" sz="1100">
            <a:solidFill>
              <a:schemeClr val="dk1"/>
            </a:solidFill>
            <a:effectLst/>
            <a:latin typeface="+mn-lt"/>
            <a:ea typeface="+mn-ea"/>
            <a:cs typeface="+mn-cs"/>
          </a:endParaRPr>
        </a:p>
        <a:p>
          <a:pPr lvl="0"/>
          <a:r>
            <a:rPr lang="es-ES" sz="1100" b="1">
              <a:solidFill>
                <a:schemeClr val="dk1"/>
              </a:solidFill>
              <a:effectLst/>
              <a:latin typeface="+mn-lt"/>
              <a:ea typeface="+mn-ea"/>
              <a:cs typeface="+mn-cs"/>
            </a:rPr>
            <a:t>30 de septiembre: </a:t>
          </a:r>
          <a:r>
            <a:rPr lang="es-ES" sz="1100" b="1" cap="all">
              <a:solidFill>
                <a:schemeClr val="dk1"/>
              </a:solidFill>
              <a:effectLst/>
              <a:latin typeface="+mn-lt"/>
              <a:ea typeface="+mn-ea"/>
              <a:cs typeface="+mn-cs"/>
            </a:rPr>
            <a:t>Mc TIVI</a:t>
          </a:r>
          <a:r>
            <a:rPr lang="es-ES" sz="1100" b="1">
              <a:solidFill>
                <a:schemeClr val="dk1"/>
              </a:solidFill>
              <a:effectLst/>
              <a:latin typeface="+mn-lt"/>
              <a:ea typeface="+mn-ea"/>
              <a:cs typeface="+mn-cs"/>
            </a:rPr>
            <a:t> realiza inventario y cuenta 2.113 unidades.    Igualmente, un estudio de mercado revela que las unidades almacenadas se valoran en el mercado a un 95%.</a:t>
          </a:r>
          <a:endParaRPr lang="es-ES" sz="1100">
            <a:solidFill>
              <a:schemeClr val="dk1"/>
            </a:solidFill>
            <a:effectLst/>
            <a:latin typeface="+mn-lt"/>
            <a:ea typeface="+mn-ea"/>
            <a:cs typeface="+mn-cs"/>
          </a:endParaRP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zoomScale="90" zoomScaleNormal="90" workbookViewId="0">
      <selection activeCell="O33" sqref="O33"/>
    </sheetView>
  </sheetViews>
  <sheetFormatPr baseColWidth="10" defaultColWidth="9.140625" defaultRowHeight="15" x14ac:dyDescent="0.25"/>
  <cols>
    <col min="1" max="1" width="12" bestFit="1" customWidth="1"/>
    <col min="2" max="2" width="19.7109375" bestFit="1" customWidth="1"/>
    <col min="4" max="4" width="9.28515625" bestFit="1" customWidth="1"/>
    <col min="5" max="5" width="10.28515625" bestFit="1" customWidth="1"/>
    <col min="8" max="8" width="10.85546875" bestFit="1" customWidth="1"/>
    <col min="11" max="11" width="10.85546875" bestFit="1" customWidth="1"/>
  </cols>
  <sheetData>
    <row r="1" spans="1:11" x14ac:dyDescent="0.25">
      <c r="A1" s="71" t="s">
        <v>0</v>
      </c>
      <c r="B1" s="72"/>
      <c r="C1" s="72"/>
      <c r="D1" s="72"/>
      <c r="E1" s="72"/>
      <c r="F1" s="72"/>
      <c r="G1" s="73" t="s">
        <v>1</v>
      </c>
      <c r="H1" s="74"/>
    </row>
    <row r="2" spans="1:11" x14ac:dyDescent="0.25">
      <c r="A2" s="71" t="s">
        <v>2</v>
      </c>
      <c r="B2" s="72"/>
      <c r="C2" s="72"/>
      <c r="D2" s="72"/>
      <c r="E2" s="72"/>
      <c r="F2" s="72"/>
      <c r="G2" s="1"/>
      <c r="H2" s="2"/>
    </row>
    <row r="3" spans="1:11" x14ac:dyDescent="0.25">
      <c r="A3" s="3" t="s">
        <v>3</v>
      </c>
      <c r="B3" s="75" t="s">
        <v>13</v>
      </c>
      <c r="C3" s="75"/>
      <c r="D3" s="4" t="s">
        <v>4</v>
      </c>
      <c r="E3" s="4"/>
      <c r="F3" s="76"/>
      <c r="G3" s="76"/>
      <c r="H3" s="77"/>
    </row>
    <row r="4" spans="1:11" x14ac:dyDescent="0.25">
      <c r="A4" s="70" t="s">
        <v>5</v>
      </c>
      <c r="B4" s="70" t="s">
        <v>6</v>
      </c>
      <c r="C4" s="70" t="s">
        <v>7</v>
      </c>
      <c r="D4" s="70"/>
      <c r="E4" s="70"/>
      <c r="F4" s="70" t="s">
        <v>11</v>
      </c>
      <c r="G4" s="70"/>
      <c r="H4" s="70"/>
      <c r="I4" s="70" t="s">
        <v>12</v>
      </c>
      <c r="J4" s="70"/>
      <c r="K4" s="70"/>
    </row>
    <row r="5" spans="1:11" x14ac:dyDescent="0.25">
      <c r="A5" s="70"/>
      <c r="B5" s="70"/>
      <c r="C5" s="5" t="s">
        <v>8</v>
      </c>
      <c r="D5" s="5" t="s">
        <v>9</v>
      </c>
      <c r="E5" s="5" t="s">
        <v>10</v>
      </c>
      <c r="F5" s="5" t="s">
        <v>8</v>
      </c>
      <c r="G5" s="5" t="s">
        <v>9</v>
      </c>
      <c r="H5" s="5" t="s">
        <v>10</v>
      </c>
      <c r="I5" s="5" t="s">
        <v>8</v>
      </c>
      <c r="J5" s="5" t="s">
        <v>9</v>
      </c>
      <c r="K5" s="5" t="s">
        <v>10</v>
      </c>
    </row>
    <row r="6" spans="1:11" x14ac:dyDescent="0.25">
      <c r="A6" s="6">
        <v>43191</v>
      </c>
      <c r="B6" s="5" t="s">
        <v>14</v>
      </c>
      <c r="C6" s="5"/>
      <c r="D6" s="5"/>
      <c r="E6" s="5"/>
      <c r="F6" s="5"/>
      <c r="G6" s="5"/>
      <c r="H6" s="5"/>
      <c r="I6" s="5">
        <v>200</v>
      </c>
      <c r="J6" s="7">
        <v>10</v>
      </c>
      <c r="K6" s="7">
        <f t="shared" ref="K6:K12" si="0">I6*J6</f>
        <v>2000</v>
      </c>
    </row>
    <row r="7" spans="1:11" x14ac:dyDescent="0.25">
      <c r="A7" s="6">
        <v>43194</v>
      </c>
      <c r="B7" s="5" t="s">
        <v>18</v>
      </c>
      <c r="C7" s="5"/>
      <c r="D7" s="5"/>
      <c r="E7" s="5"/>
      <c r="F7" s="5">
        <v>100</v>
      </c>
      <c r="G7" s="7">
        <v>10</v>
      </c>
      <c r="H7" s="7">
        <f>F7*G7</f>
        <v>1000</v>
      </c>
      <c r="I7" s="5">
        <f>I6-F7+C7</f>
        <v>100</v>
      </c>
      <c r="J7" s="7">
        <v>10</v>
      </c>
      <c r="K7" s="7">
        <f t="shared" si="0"/>
        <v>1000</v>
      </c>
    </row>
    <row r="8" spans="1:11" x14ac:dyDescent="0.25">
      <c r="A8" s="6">
        <v>43197</v>
      </c>
      <c r="B8" s="5" t="s">
        <v>17</v>
      </c>
      <c r="C8" s="5">
        <v>60</v>
      </c>
      <c r="D8" s="7">
        <v>11</v>
      </c>
      <c r="E8" s="7">
        <f>C8*D8</f>
        <v>660</v>
      </c>
      <c r="F8" s="5"/>
      <c r="G8" s="5"/>
      <c r="H8" s="5"/>
      <c r="I8" s="5">
        <f t="shared" ref="I8:I15" si="1">I7-F8+C8</f>
        <v>160</v>
      </c>
      <c r="J8" s="8">
        <f>((100*10)+(60*11))/160</f>
        <v>10.375</v>
      </c>
      <c r="K8" s="9">
        <f t="shared" si="0"/>
        <v>1660</v>
      </c>
    </row>
    <row r="9" spans="1:11" x14ac:dyDescent="0.25">
      <c r="A9" s="6">
        <v>43200</v>
      </c>
      <c r="B9" s="5" t="s">
        <v>18</v>
      </c>
      <c r="C9" s="5"/>
      <c r="D9" s="5"/>
      <c r="E9" s="7"/>
      <c r="F9" s="5">
        <v>130</v>
      </c>
      <c r="G9" s="8">
        <f>J8</f>
        <v>10.375</v>
      </c>
      <c r="H9" s="8">
        <f>F9*G9</f>
        <v>1348.75</v>
      </c>
      <c r="I9" s="5">
        <f t="shared" si="1"/>
        <v>30</v>
      </c>
      <c r="J9" s="8">
        <f>J8</f>
        <v>10.375</v>
      </c>
      <c r="K9" s="8">
        <f t="shared" si="0"/>
        <v>311.25</v>
      </c>
    </row>
    <row r="10" spans="1:11" x14ac:dyDescent="0.25">
      <c r="A10" s="6">
        <v>43201</v>
      </c>
      <c r="B10" s="5" t="s">
        <v>17</v>
      </c>
      <c r="C10" s="5">
        <v>30</v>
      </c>
      <c r="D10" s="7">
        <v>12</v>
      </c>
      <c r="E10" s="7">
        <f t="shared" ref="E10:E13" si="2">C10*D10</f>
        <v>360</v>
      </c>
      <c r="F10" s="5"/>
      <c r="G10" s="5"/>
      <c r="H10" s="5"/>
      <c r="I10" s="5">
        <f t="shared" si="1"/>
        <v>60</v>
      </c>
      <c r="J10" s="8">
        <f>((30*J9)+(30*12))/60</f>
        <v>11.1875</v>
      </c>
      <c r="K10" s="8">
        <f t="shared" si="0"/>
        <v>671.25</v>
      </c>
    </row>
    <row r="11" spans="1:11" x14ac:dyDescent="0.25">
      <c r="A11" s="6">
        <v>43206</v>
      </c>
      <c r="B11" s="5" t="s">
        <v>17</v>
      </c>
      <c r="C11" s="5">
        <v>200</v>
      </c>
      <c r="D11" s="7">
        <v>9</v>
      </c>
      <c r="E11" s="7">
        <f t="shared" si="2"/>
        <v>1800</v>
      </c>
      <c r="F11" s="5"/>
      <c r="G11" s="5"/>
      <c r="H11" s="5"/>
      <c r="I11" s="5">
        <f t="shared" si="1"/>
        <v>260</v>
      </c>
      <c r="J11" s="8">
        <f>((60*J10)+(200*9))/260</f>
        <v>9.5048076923076916</v>
      </c>
      <c r="K11" s="8">
        <f t="shared" si="0"/>
        <v>2471.25</v>
      </c>
    </row>
    <row r="12" spans="1:11" x14ac:dyDescent="0.25">
      <c r="A12" s="6">
        <v>43209</v>
      </c>
      <c r="B12" s="5" t="s">
        <v>18</v>
      </c>
      <c r="C12" s="5"/>
      <c r="D12" s="5"/>
      <c r="E12" s="7"/>
      <c r="F12" s="5">
        <v>210</v>
      </c>
      <c r="G12" s="8">
        <f>J11</f>
        <v>9.5048076923076916</v>
      </c>
      <c r="H12" s="8">
        <f>F12*G12</f>
        <v>1996.0096153846152</v>
      </c>
      <c r="I12" s="5">
        <f t="shared" si="1"/>
        <v>50</v>
      </c>
      <c r="J12" s="8">
        <f>J11</f>
        <v>9.5048076923076916</v>
      </c>
      <c r="K12" s="8">
        <f t="shared" si="0"/>
        <v>475.24038461538458</v>
      </c>
    </row>
    <row r="13" spans="1:11" x14ac:dyDescent="0.25">
      <c r="A13" s="6">
        <v>43216</v>
      </c>
      <c r="B13" s="5" t="s">
        <v>17</v>
      </c>
      <c r="C13" s="5">
        <v>200</v>
      </c>
      <c r="D13" s="8">
        <f>9.2</f>
        <v>9.1999999999999993</v>
      </c>
      <c r="E13" s="7">
        <f t="shared" si="2"/>
        <v>1839.9999999999998</v>
      </c>
      <c r="F13" s="5"/>
      <c r="G13" s="5"/>
      <c r="H13" s="5"/>
      <c r="I13" s="5">
        <f t="shared" si="1"/>
        <v>250</v>
      </c>
      <c r="J13" s="8">
        <f>((50*9.5)+(200*9.2))/250</f>
        <v>9.26</v>
      </c>
      <c r="K13" s="8">
        <f t="shared" ref="K13:K15" si="3">I13*J13</f>
        <v>2315</v>
      </c>
    </row>
    <row r="14" spans="1:11" x14ac:dyDescent="0.25">
      <c r="A14" s="6">
        <v>43219</v>
      </c>
      <c r="B14" s="5" t="s">
        <v>18</v>
      </c>
      <c r="C14" s="5"/>
      <c r="D14" s="5"/>
      <c r="E14" s="7"/>
      <c r="F14" s="5">
        <v>160</v>
      </c>
      <c r="G14" s="8">
        <f>J13</f>
        <v>9.26</v>
      </c>
      <c r="H14" s="8">
        <f>F14*G14</f>
        <v>1481.6</v>
      </c>
      <c r="I14" s="5">
        <f t="shared" si="1"/>
        <v>90</v>
      </c>
      <c r="J14" s="8">
        <f>J13</f>
        <v>9.26</v>
      </c>
      <c r="K14" s="8">
        <f t="shared" si="3"/>
        <v>833.4</v>
      </c>
    </row>
    <row r="15" spans="1:11" x14ac:dyDescent="0.25">
      <c r="A15" s="6">
        <v>43220</v>
      </c>
      <c r="B15" s="5" t="s">
        <v>15</v>
      </c>
      <c r="C15" s="5"/>
      <c r="D15" s="5"/>
      <c r="E15" s="7"/>
      <c r="F15" s="5"/>
      <c r="G15" s="5"/>
      <c r="H15" s="5"/>
      <c r="I15" s="5">
        <f t="shared" si="1"/>
        <v>90</v>
      </c>
      <c r="J15" s="8">
        <f>J14</f>
        <v>9.26</v>
      </c>
      <c r="K15" s="8">
        <f t="shared" si="3"/>
        <v>833.4</v>
      </c>
    </row>
    <row r="17" spans="1:11" x14ac:dyDescent="0.25">
      <c r="B17" s="10" t="s">
        <v>16</v>
      </c>
    </row>
    <row r="18" spans="1:11" x14ac:dyDescent="0.25">
      <c r="B18" s="10" t="s">
        <v>14</v>
      </c>
    </row>
    <row r="19" spans="1:11" x14ac:dyDescent="0.25">
      <c r="B19" s="10" t="s">
        <v>17</v>
      </c>
    </row>
    <row r="20" spans="1:11" x14ac:dyDescent="0.25">
      <c r="B20" s="10" t="s">
        <v>18</v>
      </c>
    </row>
    <row r="21" spans="1:11" x14ac:dyDescent="0.25">
      <c r="B21" s="10" t="s">
        <v>15</v>
      </c>
    </row>
    <row r="23" spans="1:11" x14ac:dyDescent="0.25">
      <c r="A23" s="71" t="s">
        <v>0</v>
      </c>
      <c r="B23" s="72"/>
      <c r="C23" s="72"/>
      <c r="D23" s="72"/>
      <c r="E23" s="72"/>
      <c r="F23" s="72"/>
      <c r="G23" s="73" t="s">
        <v>1</v>
      </c>
      <c r="H23" s="74"/>
    </row>
    <row r="24" spans="1:11" x14ac:dyDescent="0.25">
      <c r="A24" s="71" t="s">
        <v>19</v>
      </c>
      <c r="B24" s="72"/>
      <c r="C24" s="72"/>
      <c r="D24" s="72"/>
      <c r="E24" s="72"/>
      <c r="F24" s="72"/>
      <c r="G24" s="1"/>
      <c r="H24" s="2"/>
    </row>
    <row r="25" spans="1:11" x14ac:dyDescent="0.25">
      <c r="A25" s="3" t="s">
        <v>3</v>
      </c>
      <c r="B25" s="75"/>
      <c r="C25" s="75"/>
      <c r="D25" s="4" t="s">
        <v>4</v>
      </c>
      <c r="E25" s="4"/>
      <c r="F25" s="76"/>
      <c r="G25" s="76"/>
      <c r="H25" s="77"/>
    </row>
    <row r="26" spans="1:11" x14ac:dyDescent="0.25">
      <c r="A26" s="70" t="s">
        <v>5</v>
      </c>
      <c r="B26" s="70" t="s">
        <v>21</v>
      </c>
      <c r="C26" s="70" t="s">
        <v>7</v>
      </c>
      <c r="D26" s="70"/>
      <c r="E26" s="70"/>
      <c r="F26" s="70" t="s">
        <v>11</v>
      </c>
      <c r="G26" s="70"/>
      <c r="H26" s="70"/>
      <c r="I26" s="70" t="s">
        <v>12</v>
      </c>
      <c r="J26" s="70"/>
      <c r="K26" s="70"/>
    </row>
    <row r="27" spans="1:11" x14ac:dyDescent="0.25">
      <c r="A27" s="70"/>
      <c r="B27" s="70"/>
      <c r="C27" s="11" t="s">
        <v>8</v>
      </c>
      <c r="D27" s="11" t="s">
        <v>9</v>
      </c>
      <c r="E27" s="11" t="s">
        <v>10</v>
      </c>
      <c r="F27" s="11" t="s">
        <v>8</v>
      </c>
      <c r="G27" s="11" t="s">
        <v>9</v>
      </c>
      <c r="H27" s="11" t="s">
        <v>10</v>
      </c>
      <c r="I27" s="11" t="s">
        <v>8</v>
      </c>
      <c r="J27" s="11" t="s">
        <v>9</v>
      </c>
      <c r="K27" s="11" t="s">
        <v>10</v>
      </c>
    </row>
    <row r="28" spans="1:11" x14ac:dyDescent="0.25">
      <c r="A28" s="6">
        <v>43191</v>
      </c>
      <c r="B28" s="11" t="s">
        <v>14</v>
      </c>
      <c r="C28" s="11"/>
      <c r="D28" s="8"/>
      <c r="E28" s="8" t="str">
        <f>IF(OR(C28&gt;0,D28&gt;0),C28*D28,"")</f>
        <v/>
      </c>
      <c r="F28" s="11"/>
      <c r="G28" s="8"/>
      <c r="H28" s="8" t="str">
        <f>IF(OR(F28&gt;0,G28&gt;0),F28*G28,"")</f>
        <v/>
      </c>
      <c r="I28" s="11">
        <v>200</v>
      </c>
      <c r="J28" s="8">
        <v>10</v>
      </c>
      <c r="K28" s="8">
        <v>2000</v>
      </c>
    </row>
    <row r="29" spans="1:11" x14ac:dyDescent="0.25">
      <c r="A29" s="6">
        <v>43194</v>
      </c>
      <c r="B29" s="11" t="s">
        <v>18</v>
      </c>
      <c r="C29" s="11"/>
      <c r="D29" s="8"/>
      <c r="E29" s="8" t="str">
        <f t="shared" ref="E29:E37" si="4">IF(OR(C29&gt;0,D29&gt;0),C29*D29,"")</f>
        <v/>
      </c>
      <c r="F29" s="11">
        <v>100</v>
      </c>
      <c r="G29" s="8">
        <v>10</v>
      </c>
      <c r="H29" s="8">
        <f t="shared" ref="H29:H37" si="5">IF(OR(F29&gt;0,G29&gt;0),F29*G29,"")</f>
        <v>1000</v>
      </c>
      <c r="I29" s="11">
        <v>100</v>
      </c>
      <c r="J29" s="8">
        <v>10</v>
      </c>
      <c r="K29" s="8">
        <v>1000</v>
      </c>
    </row>
    <row r="30" spans="1:11" ht="45" x14ac:dyDescent="0.25">
      <c r="A30" s="6">
        <v>43197</v>
      </c>
      <c r="B30" s="11" t="s">
        <v>17</v>
      </c>
      <c r="C30" s="11">
        <v>60</v>
      </c>
      <c r="D30" s="8">
        <v>11</v>
      </c>
      <c r="E30" s="8">
        <f t="shared" si="4"/>
        <v>660</v>
      </c>
      <c r="F30" s="11"/>
      <c r="G30" s="8"/>
      <c r="H30" s="8" t="str">
        <f t="shared" si="5"/>
        <v/>
      </c>
      <c r="I30" s="14" t="s">
        <v>22</v>
      </c>
      <c r="J30" s="15" t="s">
        <v>23</v>
      </c>
      <c r="K30" s="15" t="s">
        <v>24</v>
      </c>
    </row>
    <row r="31" spans="1:11" ht="30" x14ac:dyDescent="0.25">
      <c r="A31" s="6">
        <v>43200</v>
      </c>
      <c r="B31" s="11" t="s">
        <v>18</v>
      </c>
      <c r="C31" s="11"/>
      <c r="D31" s="8"/>
      <c r="E31" s="8" t="str">
        <f t="shared" si="4"/>
        <v/>
      </c>
      <c r="F31" s="14" t="s">
        <v>25</v>
      </c>
      <c r="G31" s="15" t="s">
        <v>26</v>
      </c>
      <c r="H31" s="15" t="s">
        <v>27</v>
      </c>
      <c r="I31" s="14">
        <v>30</v>
      </c>
      <c r="J31" s="16">
        <v>11</v>
      </c>
      <c r="K31" s="15">
        <f>I31*J31</f>
        <v>330</v>
      </c>
    </row>
    <row r="32" spans="1:11" ht="45" x14ac:dyDescent="0.25">
      <c r="A32" s="6">
        <v>43201</v>
      </c>
      <c r="B32" s="11" t="s">
        <v>17</v>
      </c>
      <c r="C32" s="11">
        <v>30</v>
      </c>
      <c r="D32" s="8">
        <v>12</v>
      </c>
      <c r="E32" s="8">
        <f t="shared" si="4"/>
        <v>360</v>
      </c>
      <c r="F32" s="11"/>
      <c r="G32" s="8"/>
      <c r="H32" s="8" t="str">
        <f t="shared" si="5"/>
        <v/>
      </c>
      <c r="I32" s="14" t="s">
        <v>29</v>
      </c>
      <c r="J32" s="15" t="s">
        <v>30</v>
      </c>
      <c r="K32" s="15" t="s">
        <v>28</v>
      </c>
    </row>
    <row r="33" spans="1:11" ht="60" x14ac:dyDescent="0.25">
      <c r="A33" s="6">
        <v>43206</v>
      </c>
      <c r="B33" s="11" t="s">
        <v>17</v>
      </c>
      <c r="C33" s="11">
        <v>200</v>
      </c>
      <c r="D33" s="8">
        <v>9</v>
      </c>
      <c r="E33" s="8">
        <f t="shared" si="4"/>
        <v>1800</v>
      </c>
      <c r="F33" s="11"/>
      <c r="G33" s="8"/>
      <c r="H33" s="8" t="str">
        <f t="shared" si="5"/>
        <v/>
      </c>
      <c r="I33" s="14" t="s">
        <v>31</v>
      </c>
      <c r="J33" s="15" t="s">
        <v>32</v>
      </c>
      <c r="K33" s="15" t="s">
        <v>33</v>
      </c>
    </row>
    <row r="34" spans="1:11" ht="45" x14ac:dyDescent="0.25">
      <c r="A34" s="6">
        <v>43209</v>
      </c>
      <c r="B34" s="11" t="s">
        <v>18</v>
      </c>
      <c r="C34" s="11"/>
      <c r="D34" s="8"/>
      <c r="E34" s="8" t="str">
        <f t="shared" si="4"/>
        <v/>
      </c>
      <c r="F34" s="14" t="s">
        <v>34</v>
      </c>
      <c r="G34" s="15" t="s">
        <v>35</v>
      </c>
      <c r="H34" s="15" t="s">
        <v>36</v>
      </c>
      <c r="I34" s="14">
        <v>50</v>
      </c>
      <c r="J34" s="15">
        <v>9</v>
      </c>
      <c r="K34" s="15">
        <v>450</v>
      </c>
    </row>
    <row r="35" spans="1:11" ht="45" x14ac:dyDescent="0.25">
      <c r="A35" s="6">
        <v>43216</v>
      </c>
      <c r="B35" s="11" t="s">
        <v>17</v>
      </c>
      <c r="C35" s="11">
        <v>200</v>
      </c>
      <c r="D35" s="8">
        <v>9.1999999999999993</v>
      </c>
      <c r="E35" s="8">
        <f t="shared" si="4"/>
        <v>1839.9999999999998</v>
      </c>
      <c r="F35" s="11"/>
      <c r="G35" s="8"/>
      <c r="H35" s="8" t="str">
        <f t="shared" si="5"/>
        <v/>
      </c>
      <c r="I35" s="14" t="s">
        <v>37</v>
      </c>
      <c r="J35" s="15" t="s">
        <v>38</v>
      </c>
      <c r="K35" s="15" t="s">
        <v>39</v>
      </c>
    </row>
    <row r="36" spans="1:11" ht="30" x14ac:dyDescent="0.25">
      <c r="A36" s="6">
        <v>43219</v>
      </c>
      <c r="B36" s="11" t="s">
        <v>18</v>
      </c>
      <c r="C36" s="11"/>
      <c r="D36" s="8"/>
      <c r="E36" s="8" t="str">
        <f t="shared" si="4"/>
        <v/>
      </c>
      <c r="F36" s="14" t="s">
        <v>40</v>
      </c>
      <c r="G36" s="15" t="s">
        <v>41</v>
      </c>
      <c r="H36" s="15" t="s">
        <v>42</v>
      </c>
      <c r="I36" s="11">
        <v>90</v>
      </c>
      <c r="J36" s="8">
        <v>9.1999999999999993</v>
      </c>
      <c r="K36" s="8">
        <f>828</f>
        <v>828</v>
      </c>
    </row>
    <row r="37" spans="1:11" x14ac:dyDescent="0.25">
      <c r="A37" s="6">
        <v>43220</v>
      </c>
      <c r="B37" s="11" t="s">
        <v>15</v>
      </c>
      <c r="C37" s="11"/>
      <c r="D37" s="8"/>
      <c r="E37" s="8" t="str">
        <f t="shared" si="4"/>
        <v/>
      </c>
      <c r="F37" s="11"/>
      <c r="G37" s="8"/>
      <c r="H37" s="8" t="str">
        <f t="shared" si="5"/>
        <v/>
      </c>
      <c r="I37" s="11"/>
      <c r="J37" s="8"/>
      <c r="K37" s="8"/>
    </row>
    <row r="38" spans="1:11" x14ac:dyDescent="0.25">
      <c r="B38" s="13" t="s">
        <v>20</v>
      </c>
    </row>
    <row r="39" spans="1:11" x14ac:dyDescent="0.25">
      <c r="B39" s="10" t="s">
        <v>16</v>
      </c>
    </row>
    <row r="40" spans="1:11" x14ac:dyDescent="0.25">
      <c r="B40" s="10" t="s">
        <v>14</v>
      </c>
    </row>
    <row r="41" spans="1:11" x14ac:dyDescent="0.25">
      <c r="B41" s="10" t="s">
        <v>17</v>
      </c>
    </row>
    <row r="42" spans="1:11" x14ac:dyDescent="0.25">
      <c r="B42" s="10" t="s">
        <v>18</v>
      </c>
    </row>
    <row r="43" spans="1:11" x14ac:dyDescent="0.25">
      <c r="B43" s="10" t="s">
        <v>15</v>
      </c>
    </row>
  </sheetData>
  <mergeCells count="20">
    <mergeCell ref="A1:F1"/>
    <mergeCell ref="G1:H1"/>
    <mergeCell ref="A2:F2"/>
    <mergeCell ref="B3:C3"/>
    <mergeCell ref="F3:H3"/>
    <mergeCell ref="A4:A5"/>
    <mergeCell ref="B4:B5"/>
    <mergeCell ref="C4:E4"/>
    <mergeCell ref="F4:H4"/>
    <mergeCell ref="I4:K4"/>
    <mergeCell ref="A23:F23"/>
    <mergeCell ref="G23:H23"/>
    <mergeCell ref="A24:F24"/>
    <mergeCell ref="B25:C25"/>
    <mergeCell ref="F25:H25"/>
    <mergeCell ref="A26:A27"/>
    <mergeCell ref="B26:B27"/>
    <mergeCell ref="C26:E26"/>
    <mergeCell ref="F26:H26"/>
    <mergeCell ref="I26:K26"/>
  </mergeCells>
  <dataValidations count="2">
    <dataValidation type="list" allowBlank="1" showInputMessage="1" showErrorMessage="1" sqref="B22 B6:B15 B29:B37">
      <formula1>$B$18:$B$21</formula1>
    </dataValidation>
    <dataValidation type="list" allowBlank="1" showInputMessage="1" showErrorMessage="1" sqref="B28">
      <formula1>$B$38:$B$43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78" zoomScaleNormal="78" workbookViewId="0">
      <selection activeCell="A19" sqref="A19:K34"/>
    </sheetView>
  </sheetViews>
  <sheetFormatPr baseColWidth="10" defaultColWidth="9.140625" defaultRowHeight="15" x14ac:dyDescent="0.25"/>
  <cols>
    <col min="1" max="1" width="11.5703125" customWidth="1"/>
    <col min="2" max="2" width="10.7109375" customWidth="1"/>
    <col min="3" max="3" width="12.28515625" customWidth="1"/>
    <col min="4" max="4" width="14.28515625" customWidth="1"/>
    <col min="5" max="5" width="11.42578125" customWidth="1"/>
    <col min="7" max="7" width="12" customWidth="1"/>
    <col min="8" max="8" width="12.7109375" customWidth="1"/>
    <col min="10" max="10" width="12.140625" customWidth="1"/>
    <col min="11" max="11" width="13" customWidth="1"/>
    <col min="13" max="13" width="12.28515625" customWidth="1"/>
  </cols>
  <sheetData>
    <row r="1" spans="1:11" x14ac:dyDescent="0.25">
      <c r="A1" s="71" t="s">
        <v>0</v>
      </c>
      <c r="B1" s="72"/>
      <c r="C1" s="72"/>
      <c r="D1" s="72"/>
      <c r="E1" s="72"/>
      <c r="F1" s="72"/>
      <c r="G1" s="73" t="s">
        <v>43</v>
      </c>
      <c r="H1" s="74"/>
    </row>
    <row r="2" spans="1:11" x14ac:dyDescent="0.25">
      <c r="A2" s="71" t="s">
        <v>44</v>
      </c>
      <c r="B2" s="72"/>
      <c r="C2" s="72"/>
      <c r="D2" s="72"/>
      <c r="E2" s="72"/>
      <c r="F2" s="72"/>
      <c r="G2" s="1"/>
      <c r="H2" s="2"/>
    </row>
    <row r="3" spans="1:11" x14ac:dyDescent="0.25">
      <c r="A3" s="3" t="s">
        <v>3</v>
      </c>
      <c r="B3" s="75"/>
      <c r="C3" s="75"/>
      <c r="D3" s="4" t="s">
        <v>4</v>
      </c>
      <c r="E3" s="4"/>
      <c r="F3" s="76"/>
      <c r="G3" s="76"/>
      <c r="H3" s="77"/>
    </row>
    <row r="4" spans="1:11" x14ac:dyDescent="0.25">
      <c r="A4" s="70" t="s">
        <v>5</v>
      </c>
      <c r="B4" s="70" t="s">
        <v>21</v>
      </c>
      <c r="C4" s="70" t="s">
        <v>7</v>
      </c>
      <c r="D4" s="70"/>
      <c r="E4" s="70"/>
      <c r="F4" s="70" t="s">
        <v>11</v>
      </c>
      <c r="G4" s="70"/>
      <c r="H4" s="70"/>
      <c r="I4" s="70" t="s">
        <v>12</v>
      </c>
      <c r="J4" s="70"/>
      <c r="K4" s="70"/>
    </row>
    <row r="5" spans="1:11" x14ac:dyDescent="0.25">
      <c r="A5" s="70"/>
      <c r="B5" s="70"/>
      <c r="C5" s="12" t="s">
        <v>8</v>
      </c>
      <c r="D5" s="12" t="s">
        <v>9</v>
      </c>
      <c r="E5" s="12" t="s">
        <v>10</v>
      </c>
      <c r="F5" s="12" t="s">
        <v>8</v>
      </c>
      <c r="G5" s="12" t="s">
        <v>9</v>
      </c>
      <c r="H5" s="12" t="s">
        <v>10</v>
      </c>
      <c r="I5" s="12" t="s">
        <v>8</v>
      </c>
      <c r="J5" s="12" t="s">
        <v>9</v>
      </c>
      <c r="K5" s="12" t="s">
        <v>10</v>
      </c>
    </row>
    <row r="6" spans="1:11" ht="30" x14ac:dyDescent="0.25">
      <c r="A6" s="17">
        <v>43191</v>
      </c>
      <c r="B6" s="14" t="s">
        <v>14</v>
      </c>
      <c r="C6" s="12"/>
      <c r="D6" s="12"/>
      <c r="E6" s="12"/>
      <c r="F6" s="12"/>
      <c r="G6" s="12"/>
      <c r="H6" s="12"/>
      <c r="I6" s="12">
        <v>95</v>
      </c>
      <c r="J6" s="7">
        <v>49</v>
      </c>
      <c r="K6" s="7">
        <f t="shared" ref="K6:K16" si="0">I6*J6</f>
        <v>4655</v>
      </c>
    </row>
    <row r="7" spans="1:11" x14ac:dyDescent="0.25">
      <c r="A7" s="6">
        <v>43197</v>
      </c>
      <c r="B7" s="12" t="s">
        <v>18</v>
      </c>
      <c r="C7" s="12"/>
      <c r="D7" s="12"/>
      <c r="E7" s="12"/>
      <c r="F7" s="12">
        <v>10</v>
      </c>
      <c r="G7" s="7">
        <f>J6</f>
        <v>49</v>
      </c>
      <c r="H7" s="7">
        <f>F7*G7</f>
        <v>490</v>
      </c>
      <c r="I7" s="12">
        <f>I6-F7</f>
        <v>85</v>
      </c>
      <c r="J7" s="7">
        <f>J6</f>
        <v>49</v>
      </c>
      <c r="K7" s="7">
        <f t="shared" si="0"/>
        <v>4165</v>
      </c>
    </row>
    <row r="8" spans="1:11" x14ac:dyDescent="0.25">
      <c r="A8" s="6">
        <v>43208</v>
      </c>
      <c r="B8" s="12" t="s">
        <v>17</v>
      </c>
      <c r="C8" s="12">
        <v>85</v>
      </c>
      <c r="D8" s="7">
        <v>51</v>
      </c>
      <c r="E8" s="7">
        <f>C8*D8</f>
        <v>4335</v>
      </c>
      <c r="F8" s="12"/>
      <c r="G8" s="12"/>
      <c r="H8" s="12"/>
      <c r="I8" s="12">
        <f>I7+C8</f>
        <v>170</v>
      </c>
      <c r="J8" s="9">
        <f>(K7+E8)/I8</f>
        <v>50</v>
      </c>
      <c r="K8" s="9">
        <f t="shared" si="0"/>
        <v>8500</v>
      </c>
    </row>
    <row r="9" spans="1:11" x14ac:dyDescent="0.25">
      <c r="A9" s="6">
        <v>43214</v>
      </c>
      <c r="B9" s="12" t="s">
        <v>18</v>
      </c>
      <c r="C9" s="12"/>
      <c r="D9" s="12"/>
      <c r="E9" s="12"/>
      <c r="F9" s="12">
        <v>60</v>
      </c>
      <c r="G9" s="9">
        <f>J8</f>
        <v>50</v>
      </c>
      <c r="H9" s="9">
        <f>F9*G9</f>
        <v>3000</v>
      </c>
      <c r="I9" s="12">
        <f>I8-F9</f>
        <v>110</v>
      </c>
      <c r="J9" s="9">
        <f>J8</f>
        <v>50</v>
      </c>
      <c r="K9" s="9">
        <f t="shared" si="0"/>
        <v>5500</v>
      </c>
    </row>
    <row r="10" spans="1:11" ht="30" x14ac:dyDescent="0.25">
      <c r="A10" s="6">
        <v>43222</v>
      </c>
      <c r="B10" s="14" t="s">
        <v>45</v>
      </c>
      <c r="C10" s="12">
        <v>20</v>
      </c>
      <c r="D10" s="9">
        <f>G9</f>
        <v>50</v>
      </c>
      <c r="E10" s="9">
        <f>C10*D10</f>
        <v>1000</v>
      </c>
      <c r="F10" s="12"/>
      <c r="G10" s="12"/>
      <c r="H10" s="12"/>
      <c r="I10" s="12">
        <f>I9+C10</f>
        <v>130</v>
      </c>
      <c r="J10" s="9">
        <f>(K9+E10)/I10</f>
        <v>50</v>
      </c>
      <c r="K10" s="9">
        <f t="shared" si="0"/>
        <v>6500</v>
      </c>
    </row>
    <row r="11" spans="1:11" x14ac:dyDescent="0.25">
      <c r="A11" s="6">
        <v>43226</v>
      </c>
      <c r="B11" s="12" t="s">
        <v>18</v>
      </c>
      <c r="C11" s="12"/>
      <c r="D11" s="12"/>
      <c r="E11" s="12"/>
      <c r="F11" s="12">
        <v>20</v>
      </c>
      <c r="G11" s="7">
        <v>50</v>
      </c>
      <c r="H11" s="7">
        <f>F11*G11</f>
        <v>1000</v>
      </c>
      <c r="I11" s="12">
        <f>I10-F11</f>
        <v>110</v>
      </c>
      <c r="J11" s="9">
        <f>J10</f>
        <v>50</v>
      </c>
      <c r="K11" s="9">
        <f t="shared" si="0"/>
        <v>5500</v>
      </c>
    </row>
    <row r="12" spans="1:11" x14ac:dyDescent="0.25">
      <c r="A12" s="6">
        <v>43234</v>
      </c>
      <c r="B12" s="12" t="s">
        <v>18</v>
      </c>
      <c r="C12" s="12"/>
      <c r="D12" s="12"/>
      <c r="E12" s="12"/>
      <c r="F12" s="12">
        <v>30</v>
      </c>
      <c r="G12" s="9">
        <f>J11</f>
        <v>50</v>
      </c>
      <c r="H12" s="9">
        <f>F12*G12</f>
        <v>1500</v>
      </c>
      <c r="I12" s="12">
        <f>I11-F12</f>
        <v>80</v>
      </c>
      <c r="J12" s="9">
        <f>J11</f>
        <v>50</v>
      </c>
      <c r="K12" s="9">
        <f t="shared" si="0"/>
        <v>4000</v>
      </c>
    </row>
    <row r="13" spans="1:11" x14ac:dyDescent="0.25">
      <c r="A13" s="6">
        <v>43236</v>
      </c>
      <c r="B13" s="12" t="s">
        <v>17</v>
      </c>
      <c r="C13" s="12">
        <v>85</v>
      </c>
      <c r="D13" s="18">
        <v>49.5</v>
      </c>
      <c r="E13" s="18">
        <f>C13*D13</f>
        <v>4207.5</v>
      </c>
      <c r="F13" s="12"/>
      <c r="G13" s="12"/>
      <c r="H13" s="12"/>
      <c r="I13" s="12">
        <f>I12+C13</f>
        <v>165</v>
      </c>
      <c r="J13" s="18">
        <f>(K12+E13)/I13</f>
        <v>49.742424242424242</v>
      </c>
      <c r="K13" s="18">
        <f t="shared" si="0"/>
        <v>8207.5</v>
      </c>
    </row>
    <row r="14" spans="1:11" x14ac:dyDescent="0.25">
      <c r="A14" s="6">
        <v>43256</v>
      </c>
      <c r="B14" s="12" t="s">
        <v>18</v>
      </c>
      <c r="C14" s="12"/>
      <c r="D14" s="12"/>
      <c r="E14" s="12"/>
      <c r="F14" s="12">
        <v>130</v>
      </c>
      <c r="G14" s="18">
        <f>J13</f>
        <v>49.742424242424242</v>
      </c>
      <c r="H14" s="18">
        <f>F14*G14</f>
        <v>6466.515151515151</v>
      </c>
      <c r="I14" s="12">
        <f>I13-F14</f>
        <v>35</v>
      </c>
      <c r="J14" s="18">
        <f>J13</f>
        <v>49.742424242424242</v>
      </c>
      <c r="K14" s="18">
        <f t="shared" si="0"/>
        <v>1740.9848484848485</v>
      </c>
    </row>
    <row r="15" spans="1:11" x14ac:dyDescent="0.25">
      <c r="A15" s="6">
        <v>43267</v>
      </c>
      <c r="B15" s="12" t="s">
        <v>17</v>
      </c>
      <c r="C15" s="12">
        <v>85</v>
      </c>
      <c r="D15" s="7">
        <v>52</v>
      </c>
      <c r="E15" s="7">
        <f>C15*D15</f>
        <v>4420</v>
      </c>
      <c r="F15" s="12"/>
      <c r="G15" s="12"/>
      <c r="H15" s="12"/>
      <c r="I15" s="12">
        <f>I14+C15</f>
        <v>120</v>
      </c>
      <c r="J15" s="8">
        <f>(K14+E15)/I15</f>
        <v>51.341540404040401</v>
      </c>
      <c r="K15" s="8">
        <f t="shared" si="0"/>
        <v>6160.984848484848</v>
      </c>
    </row>
    <row r="16" spans="1:11" ht="30" x14ac:dyDescent="0.25">
      <c r="A16" s="23">
        <v>43281</v>
      </c>
      <c r="B16" s="20" t="s">
        <v>15</v>
      </c>
      <c r="C16" s="19"/>
      <c r="D16" s="19"/>
      <c r="E16" s="19"/>
      <c r="F16" s="19"/>
      <c r="G16" s="19"/>
      <c r="H16" s="19"/>
      <c r="I16" s="21">
        <v>120</v>
      </c>
      <c r="J16" s="22">
        <f>J15</f>
        <v>51.341540404040401</v>
      </c>
      <c r="K16" s="22">
        <f t="shared" si="0"/>
        <v>6160.984848484848</v>
      </c>
    </row>
    <row r="19" spans="1:11" x14ac:dyDescent="0.25">
      <c r="A19" s="37" t="s">
        <v>0</v>
      </c>
      <c r="B19" s="38"/>
      <c r="C19" s="38"/>
      <c r="D19" s="38"/>
      <c r="E19" s="38"/>
      <c r="F19" s="38"/>
      <c r="G19" s="39" t="s">
        <v>43</v>
      </c>
      <c r="H19" s="40"/>
    </row>
    <row r="20" spans="1:11" x14ac:dyDescent="0.25">
      <c r="A20" s="37" t="s">
        <v>46</v>
      </c>
      <c r="B20" s="38"/>
      <c r="C20" s="38"/>
      <c r="D20" s="38"/>
      <c r="E20" s="38"/>
      <c r="F20" s="38"/>
      <c r="G20" s="1"/>
      <c r="H20" s="2"/>
    </row>
    <row r="21" spans="1:11" x14ac:dyDescent="0.25">
      <c r="A21" s="3" t="s">
        <v>3</v>
      </c>
      <c r="B21" s="41"/>
      <c r="C21" s="41"/>
      <c r="D21" s="4" t="s">
        <v>4</v>
      </c>
      <c r="E21" s="4"/>
      <c r="F21" s="42"/>
      <c r="G21" s="42"/>
      <c r="H21" s="43"/>
    </row>
    <row r="22" spans="1:11" x14ac:dyDescent="0.25">
      <c r="A22" s="44" t="s">
        <v>5</v>
      </c>
      <c r="B22" s="44" t="s">
        <v>21</v>
      </c>
      <c r="C22" s="44" t="s">
        <v>7</v>
      </c>
      <c r="D22" s="44"/>
      <c r="E22" s="44"/>
      <c r="F22" s="44" t="s">
        <v>11</v>
      </c>
      <c r="G22" s="44"/>
      <c r="H22" s="44"/>
      <c r="I22" s="44" t="s">
        <v>12</v>
      </c>
      <c r="J22" s="44"/>
      <c r="K22" s="44"/>
    </row>
    <row r="23" spans="1:11" x14ac:dyDescent="0.25">
      <c r="A23" s="44"/>
      <c r="B23" s="44"/>
      <c r="C23" s="44" t="s">
        <v>8</v>
      </c>
      <c r="D23" s="44" t="s">
        <v>9</v>
      </c>
      <c r="E23" s="44" t="s">
        <v>10</v>
      </c>
      <c r="F23" s="44" t="s">
        <v>8</v>
      </c>
      <c r="G23" s="44" t="s">
        <v>9</v>
      </c>
      <c r="H23" s="44" t="s">
        <v>10</v>
      </c>
      <c r="I23" s="44" t="s">
        <v>8</v>
      </c>
      <c r="J23" s="44" t="s">
        <v>9</v>
      </c>
      <c r="K23" s="44" t="s">
        <v>10</v>
      </c>
    </row>
    <row r="24" spans="1:11" ht="30" x14ac:dyDescent="0.25">
      <c r="A24" s="17">
        <v>43191</v>
      </c>
      <c r="B24" s="14" t="s">
        <v>14</v>
      </c>
      <c r="C24" s="44"/>
      <c r="D24" s="44"/>
      <c r="E24" s="44"/>
      <c r="F24" s="44"/>
      <c r="G24" s="44"/>
      <c r="H24" s="44"/>
      <c r="I24" s="44">
        <v>95</v>
      </c>
      <c r="J24" s="7">
        <v>49</v>
      </c>
      <c r="K24" s="7">
        <v>4655</v>
      </c>
    </row>
    <row r="25" spans="1:11" x14ac:dyDescent="0.25">
      <c r="A25" s="6">
        <v>43197</v>
      </c>
      <c r="B25" s="44" t="s">
        <v>18</v>
      </c>
      <c r="C25" s="44"/>
      <c r="D25" s="44"/>
      <c r="E25" s="44"/>
      <c r="F25" s="44">
        <v>10</v>
      </c>
      <c r="G25" s="7">
        <v>49</v>
      </c>
      <c r="H25" s="7">
        <v>490</v>
      </c>
      <c r="I25" s="44">
        <v>85</v>
      </c>
      <c r="J25" s="7">
        <v>49</v>
      </c>
      <c r="K25" s="7">
        <v>4165</v>
      </c>
    </row>
    <row r="26" spans="1:11" ht="30" x14ac:dyDescent="0.25">
      <c r="A26" s="6">
        <v>43208</v>
      </c>
      <c r="B26" s="44" t="s">
        <v>17</v>
      </c>
      <c r="C26" s="14">
        <v>85</v>
      </c>
      <c r="D26" s="25">
        <v>51</v>
      </c>
      <c r="E26" s="25">
        <f>C26*D26</f>
        <v>4335</v>
      </c>
      <c r="F26" s="14"/>
      <c r="G26" s="14"/>
      <c r="H26" s="14"/>
      <c r="I26" s="14" t="s">
        <v>47</v>
      </c>
      <c r="J26" s="16" t="s">
        <v>48</v>
      </c>
      <c r="K26" s="29" t="s">
        <v>49</v>
      </c>
    </row>
    <row r="27" spans="1:11" ht="30" x14ac:dyDescent="0.25">
      <c r="A27" s="6">
        <v>43214</v>
      </c>
      <c r="B27" s="44" t="s">
        <v>18</v>
      </c>
      <c r="C27" s="14"/>
      <c r="D27" s="14"/>
      <c r="E27" s="14"/>
      <c r="F27" s="14">
        <v>60</v>
      </c>
      <c r="G27" s="16">
        <v>49</v>
      </c>
      <c r="H27" s="16">
        <v>2940</v>
      </c>
      <c r="I27" s="14" t="s">
        <v>50</v>
      </c>
      <c r="J27" s="16" t="s">
        <v>51</v>
      </c>
      <c r="K27" s="16" t="s">
        <v>52</v>
      </c>
    </row>
    <row r="28" spans="1:11" ht="30" x14ac:dyDescent="0.25">
      <c r="A28" s="6">
        <v>43222</v>
      </c>
      <c r="B28" s="14" t="s">
        <v>45</v>
      </c>
      <c r="C28" s="14">
        <v>20</v>
      </c>
      <c r="D28" s="16">
        <f>G27</f>
        <v>49</v>
      </c>
      <c r="E28" s="16">
        <f>C28*D28</f>
        <v>980</v>
      </c>
      <c r="F28" s="14"/>
      <c r="G28" s="14"/>
      <c r="H28" s="14"/>
      <c r="I28" s="14" t="s">
        <v>53</v>
      </c>
      <c r="J28" s="16" t="s">
        <v>51</v>
      </c>
      <c r="K28" s="16" t="s">
        <v>54</v>
      </c>
    </row>
    <row r="29" spans="1:11" ht="30" x14ac:dyDescent="0.25">
      <c r="A29" s="6">
        <v>43226</v>
      </c>
      <c r="B29" s="44" t="s">
        <v>18</v>
      </c>
      <c r="C29" s="14"/>
      <c r="D29" s="14"/>
      <c r="E29" s="14"/>
      <c r="F29" s="14">
        <v>20</v>
      </c>
      <c r="G29" s="25">
        <v>49</v>
      </c>
      <c r="H29" s="25">
        <v>980</v>
      </c>
      <c r="I29" s="14" t="s">
        <v>55</v>
      </c>
      <c r="J29" s="16" t="s">
        <v>56</v>
      </c>
      <c r="K29" s="16" t="s">
        <v>57</v>
      </c>
    </row>
    <row r="30" spans="1:11" ht="30" x14ac:dyDescent="0.25">
      <c r="A30" s="6">
        <v>43234</v>
      </c>
      <c r="B30" s="44" t="s">
        <v>18</v>
      </c>
      <c r="C30" s="14"/>
      <c r="D30" s="14"/>
      <c r="E30" s="14"/>
      <c r="F30" s="14" t="s">
        <v>58</v>
      </c>
      <c r="G30" s="16" t="s">
        <v>51</v>
      </c>
      <c r="H30" s="16" t="s">
        <v>59</v>
      </c>
      <c r="I30" s="14">
        <v>80</v>
      </c>
      <c r="J30" s="16">
        <v>51</v>
      </c>
      <c r="K30" s="16">
        <v>4080</v>
      </c>
    </row>
    <row r="31" spans="1:11" ht="30" x14ac:dyDescent="0.25">
      <c r="A31" s="6">
        <v>43236</v>
      </c>
      <c r="B31" s="44" t="s">
        <v>17</v>
      </c>
      <c r="C31" s="14">
        <v>85</v>
      </c>
      <c r="D31" s="26">
        <v>49.5</v>
      </c>
      <c r="E31" s="26">
        <f>C31*D31</f>
        <v>4207.5</v>
      </c>
      <c r="F31" s="14"/>
      <c r="G31" s="14"/>
      <c r="H31" s="14"/>
      <c r="I31" s="14" t="s">
        <v>60</v>
      </c>
      <c r="J31" s="26" t="s">
        <v>61</v>
      </c>
      <c r="K31" s="26" t="s">
        <v>62</v>
      </c>
    </row>
    <row r="32" spans="1:11" ht="30" x14ac:dyDescent="0.25">
      <c r="A32" s="6">
        <v>43256</v>
      </c>
      <c r="B32" s="44" t="s">
        <v>18</v>
      </c>
      <c r="C32" s="14"/>
      <c r="D32" s="14"/>
      <c r="E32" s="14"/>
      <c r="F32" s="14" t="s">
        <v>63</v>
      </c>
      <c r="G32" s="26" t="s">
        <v>61</v>
      </c>
      <c r="H32" s="26" t="s">
        <v>64</v>
      </c>
      <c r="I32" s="14">
        <v>35</v>
      </c>
      <c r="J32" s="26">
        <v>49.5</v>
      </c>
      <c r="K32" s="26">
        <v>1732.5</v>
      </c>
    </row>
    <row r="33" spans="1:11" ht="30" x14ac:dyDescent="0.25">
      <c r="A33" s="6">
        <v>43267</v>
      </c>
      <c r="B33" s="44" t="s">
        <v>17</v>
      </c>
      <c r="C33" s="14">
        <v>85</v>
      </c>
      <c r="D33" s="25">
        <v>52</v>
      </c>
      <c r="E33" s="25">
        <f>C33*D33</f>
        <v>4420</v>
      </c>
      <c r="F33" s="14"/>
      <c r="G33" s="14"/>
      <c r="H33" s="14"/>
      <c r="I33" s="14" t="s">
        <v>65</v>
      </c>
      <c r="J33" s="15" t="s">
        <v>66</v>
      </c>
      <c r="K33" s="15" t="s">
        <v>67</v>
      </c>
    </row>
    <row r="34" spans="1:11" ht="30" x14ac:dyDescent="0.25">
      <c r="A34" s="23">
        <v>43281</v>
      </c>
      <c r="B34" s="20" t="s">
        <v>15</v>
      </c>
      <c r="C34" s="27"/>
      <c r="D34" s="27"/>
      <c r="E34" s="27"/>
      <c r="F34" s="27"/>
      <c r="G34" s="27"/>
      <c r="H34" s="27"/>
      <c r="I34" s="20" t="s">
        <v>68</v>
      </c>
      <c r="J34" s="28" t="s">
        <v>66</v>
      </c>
      <c r="K34" s="28" t="s">
        <v>67</v>
      </c>
    </row>
  </sheetData>
  <mergeCells count="10">
    <mergeCell ref="I4:K4"/>
    <mergeCell ref="A1:F1"/>
    <mergeCell ref="G1:H1"/>
    <mergeCell ref="A2:F2"/>
    <mergeCell ref="B3:C3"/>
    <mergeCell ref="F3:H3"/>
    <mergeCell ref="A4:A5"/>
    <mergeCell ref="B4:B5"/>
    <mergeCell ref="C4:E4"/>
    <mergeCell ref="F4:H4"/>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K51"/>
  <sheetViews>
    <sheetView topLeftCell="C1" zoomScale="90" zoomScaleNormal="90" workbookViewId="0">
      <selection activeCell="E29" sqref="E29"/>
    </sheetView>
  </sheetViews>
  <sheetFormatPr baseColWidth="10" defaultColWidth="9.140625" defaultRowHeight="15" x14ac:dyDescent="0.25"/>
  <cols>
    <col min="1" max="1" width="12" bestFit="1" customWidth="1"/>
    <col min="2" max="2" width="18.140625" bestFit="1" customWidth="1"/>
    <col min="5" max="5" width="10.140625" bestFit="1" customWidth="1"/>
    <col min="8" max="8" width="11.42578125" bestFit="1" customWidth="1"/>
    <col min="10" max="10" width="11.28515625" bestFit="1" customWidth="1"/>
    <col min="11" max="11" width="11.85546875" bestFit="1" customWidth="1"/>
  </cols>
  <sheetData>
    <row r="15" spans="1:8" x14ac:dyDescent="0.25">
      <c r="A15" s="71" t="s">
        <v>0</v>
      </c>
      <c r="B15" s="72"/>
      <c r="C15" s="72"/>
      <c r="D15" s="72"/>
      <c r="E15" s="72"/>
      <c r="F15" s="72"/>
      <c r="G15" s="73" t="s">
        <v>1</v>
      </c>
      <c r="H15" s="74"/>
    </row>
    <row r="16" spans="1:8" x14ac:dyDescent="0.25">
      <c r="A16" s="71" t="s">
        <v>44</v>
      </c>
      <c r="B16" s="72"/>
      <c r="C16" s="72"/>
      <c r="D16" s="72"/>
      <c r="E16" s="72"/>
      <c r="F16" s="72"/>
      <c r="G16" s="1"/>
      <c r="H16" s="2"/>
    </row>
    <row r="17" spans="1:11" x14ac:dyDescent="0.25">
      <c r="A17" s="3" t="s">
        <v>3</v>
      </c>
      <c r="B17" s="75" t="s">
        <v>70</v>
      </c>
      <c r="C17" s="75"/>
      <c r="D17" s="4" t="s">
        <v>4</v>
      </c>
      <c r="E17" s="4"/>
      <c r="F17" s="76" t="s">
        <v>69</v>
      </c>
      <c r="G17" s="76"/>
      <c r="H17" s="77"/>
    </row>
    <row r="18" spans="1:11" x14ac:dyDescent="0.25">
      <c r="A18" s="70" t="s">
        <v>5</v>
      </c>
      <c r="B18" s="70" t="s">
        <v>21</v>
      </c>
      <c r="C18" s="70" t="s">
        <v>7</v>
      </c>
      <c r="D18" s="70"/>
      <c r="E18" s="70"/>
      <c r="F18" s="70" t="s">
        <v>11</v>
      </c>
      <c r="G18" s="70"/>
      <c r="H18" s="70"/>
      <c r="I18" s="70" t="s">
        <v>12</v>
      </c>
      <c r="J18" s="70"/>
      <c r="K18" s="70"/>
    </row>
    <row r="19" spans="1:11" x14ac:dyDescent="0.25">
      <c r="A19" s="70"/>
      <c r="B19" s="70"/>
      <c r="C19" s="24" t="s">
        <v>8</v>
      </c>
      <c r="D19" s="24" t="s">
        <v>9</v>
      </c>
      <c r="E19" s="24" t="s">
        <v>10</v>
      </c>
      <c r="F19" s="24" t="s">
        <v>8</v>
      </c>
      <c r="G19" s="24" t="s">
        <v>9</v>
      </c>
      <c r="H19" s="24" t="s">
        <v>10</v>
      </c>
      <c r="I19" s="24" t="s">
        <v>8</v>
      </c>
      <c r="J19" s="24" t="s">
        <v>9</v>
      </c>
      <c r="K19" s="24" t="s">
        <v>10</v>
      </c>
    </row>
    <row r="20" spans="1:11" x14ac:dyDescent="0.25">
      <c r="A20" s="32">
        <v>43252</v>
      </c>
      <c r="B20" s="31" t="s">
        <v>71</v>
      </c>
      <c r="C20" s="31"/>
      <c r="D20" s="31"/>
      <c r="E20" s="31"/>
      <c r="F20" s="31"/>
      <c r="G20" s="31"/>
      <c r="H20" s="31"/>
      <c r="I20" s="31">
        <v>600</v>
      </c>
      <c r="J20" s="33">
        <v>25</v>
      </c>
      <c r="K20" s="33">
        <f t="shared" ref="K20:K29" si="0">I20*J20</f>
        <v>15000</v>
      </c>
    </row>
    <row r="21" spans="1:11" x14ac:dyDescent="0.25">
      <c r="A21" s="32">
        <v>43255</v>
      </c>
      <c r="B21" s="31" t="s">
        <v>72</v>
      </c>
      <c r="C21" s="31">
        <v>1000</v>
      </c>
      <c r="D21" s="34">
        <v>25</v>
      </c>
      <c r="E21" s="34">
        <f>C21*D21</f>
        <v>25000</v>
      </c>
      <c r="F21" s="31"/>
      <c r="G21" s="31"/>
      <c r="H21" s="31"/>
      <c r="I21" s="31">
        <f>I20+C21</f>
        <v>1600</v>
      </c>
      <c r="J21" s="33">
        <f>(K20+E21)/I21</f>
        <v>25</v>
      </c>
      <c r="K21" s="33">
        <f t="shared" si="0"/>
        <v>40000</v>
      </c>
    </row>
    <row r="22" spans="1:11" x14ac:dyDescent="0.25">
      <c r="A22" s="32">
        <v>43256</v>
      </c>
      <c r="B22" s="31" t="s">
        <v>73</v>
      </c>
      <c r="C22" s="31"/>
      <c r="D22" s="31"/>
      <c r="E22" s="34">
        <v>100</v>
      </c>
      <c r="F22" s="31"/>
      <c r="G22" s="31"/>
      <c r="H22" s="31"/>
      <c r="I22" s="31">
        <f>I21+C22</f>
        <v>1600</v>
      </c>
      <c r="J22" s="33">
        <f>(K20+E21+E22)/I22</f>
        <v>25.0625</v>
      </c>
      <c r="K22" s="33">
        <f t="shared" si="0"/>
        <v>40100</v>
      </c>
    </row>
    <row r="23" spans="1:11" x14ac:dyDescent="0.25">
      <c r="A23" s="32">
        <v>43256</v>
      </c>
      <c r="B23" s="31" t="s">
        <v>74</v>
      </c>
      <c r="C23" s="31"/>
      <c r="D23" s="31"/>
      <c r="E23" s="34">
        <v>-300</v>
      </c>
      <c r="F23" s="31"/>
      <c r="G23" s="31"/>
      <c r="H23" s="31"/>
      <c r="I23" s="31">
        <f>I22+C23</f>
        <v>1600</v>
      </c>
      <c r="J23" s="33">
        <f>(K20+E21+E22+E23)/I23</f>
        <v>24.875</v>
      </c>
      <c r="K23" s="33">
        <f t="shared" si="0"/>
        <v>39800</v>
      </c>
    </row>
    <row r="24" spans="1:11" x14ac:dyDescent="0.25">
      <c r="A24" s="32">
        <v>43260</v>
      </c>
      <c r="B24" s="31" t="s">
        <v>75</v>
      </c>
      <c r="C24" s="31"/>
      <c r="D24" s="31"/>
      <c r="E24" s="31"/>
      <c r="F24" s="31">
        <v>200</v>
      </c>
      <c r="G24" s="33">
        <f>J23</f>
        <v>24.875</v>
      </c>
      <c r="H24" s="33">
        <f>F24*G24</f>
        <v>4975</v>
      </c>
      <c r="I24" s="31">
        <f>I23-F24</f>
        <v>1400</v>
      </c>
      <c r="J24" s="33">
        <f>J23</f>
        <v>24.875</v>
      </c>
      <c r="K24" s="33">
        <f t="shared" si="0"/>
        <v>34825</v>
      </c>
    </row>
    <row r="25" spans="1:11" x14ac:dyDescent="0.25">
      <c r="A25" s="32">
        <v>43261</v>
      </c>
      <c r="B25" s="31" t="s">
        <v>76</v>
      </c>
      <c r="C25" s="31"/>
      <c r="D25" s="31"/>
      <c r="E25" s="31"/>
      <c r="F25" s="31">
        <v>400</v>
      </c>
      <c r="G25" s="35">
        <f>G24</f>
        <v>24.875</v>
      </c>
      <c r="H25" s="33">
        <f>F25*G25</f>
        <v>9950</v>
      </c>
      <c r="I25" s="31">
        <f>I24-F25</f>
        <v>1000</v>
      </c>
      <c r="J25" s="33">
        <f>J24</f>
        <v>24.875</v>
      </c>
      <c r="K25" s="33">
        <f t="shared" si="0"/>
        <v>24875</v>
      </c>
    </row>
    <row r="26" spans="1:11" x14ac:dyDescent="0.25">
      <c r="A26" s="32">
        <v>43269</v>
      </c>
      <c r="B26" s="31" t="s">
        <v>77</v>
      </c>
      <c r="C26" s="31">
        <v>100</v>
      </c>
      <c r="D26" s="35">
        <f>G25</f>
        <v>24.875</v>
      </c>
      <c r="E26" s="33">
        <f>C26*D26</f>
        <v>2487.5</v>
      </c>
      <c r="F26" s="31"/>
      <c r="G26" s="31"/>
      <c r="H26" s="31"/>
      <c r="I26" s="31">
        <f>I25+C26</f>
        <v>1100</v>
      </c>
      <c r="J26" s="33">
        <f>(K25+E26)/I26</f>
        <v>24.875</v>
      </c>
      <c r="K26" s="33">
        <f t="shared" si="0"/>
        <v>27362.5</v>
      </c>
    </row>
    <row r="27" spans="1:11" x14ac:dyDescent="0.25">
      <c r="A27" s="32">
        <v>43274</v>
      </c>
      <c r="B27" s="31" t="s">
        <v>72</v>
      </c>
      <c r="C27" s="31">
        <v>100</v>
      </c>
      <c r="D27" s="36">
        <v>26</v>
      </c>
      <c r="E27" s="34">
        <f>C27*D27</f>
        <v>2600</v>
      </c>
      <c r="F27" s="31"/>
      <c r="G27" s="31"/>
      <c r="H27" s="31"/>
      <c r="I27" s="31">
        <f>I26+C27</f>
        <v>1200</v>
      </c>
      <c r="J27" s="33">
        <f>(K26+E27)/I27</f>
        <v>24.96875</v>
      </c>
      <c r="K27" s="33">
        <f t="shared" si="0"/>
        <v>29962.5</v>
      </c>
    </row>
    <row r="28" spans="1:11" x14ac:dyDescent="0.25">
      <c r="A28" s="32">
        <v>43279</v>
      </c>
      <c r="B28" s="31" t="s">
        <v>78</v>
      </c>
      <c r="C28" s="31"/>
      <c r="D28" s="31"/>
      <c r="E28" s="31"/>
      <c r="F28" s="31">
        <f>C27/2</f>
        <v>50</v>
      </c>
      <c r="G28" s="36">
        <f>D27</f>
        <v>26</v>
      </c>
      <c r="H28" s="34">
        <f>F28*G28</f>
        <v>1300</v>
      </c>
      <c r="I28" s="31">
        <f>I27-F28</f>
        <v>1150</v>
      </c>
      <c r="J28" s="33">
        <f>(K26+E27-H28)/I28</f>
        <v>24.923913043478262</v>
      </c>
      <c r="K28" s="33">
        <f t="shared" si="0"/>
        <v>28662.5</v>
      </c>
    </row>
    <row r="29" spans="1:11" x14ac:dyDescent="0.25">
      <c r="A29" s="32">
        <v>43281</v>
      </c>
      <c r="B29" s="31" t="s">
        <v>79</v>
      </c>
      <c r="C29" s="31"/>
      <c r="D29" s="31"/>
      <c r="E29" s="31"/>
      <c r="F29" s="31"/>
      <c r="G29" s="31"/>
      <c r="H29" s="31"/>
      <c r="I29" s="31">
        <f>I28-F29</f>
        <v>1150</v>
      </c>
      <c r="J29" s="33">
        <f>J28</f>
        <v>24.923913043478262</v>
      </c>
      <c r="K29" s="33">
        <f t="shared" si="0"/>
        <v>28662.5</v>
      </c>
    </row>
    <row r="30" spans="1:11" x14ac:dyDescent="0.25">
      <c r="A30" s="31"/>
      <c r="B30" s="31"/>
      <c r="C30" s="31"/>
      <c r="D30" s="31"/>
      <c r="E30" s="31"/>
      <c r="F30" s="31"/>
      <c r="G30" s="31"/>
      <c r="H30" s="31"/>
      <c r="I30" s="31"/>
      <c r="J30" s="33"/>
      <c r="K30" s="33"/>
    </row>
    <row r="34" spans="1:11" x14ac:dyDescent="0.25">
      <c r="A34" s="71" t="s">
        <v>0</v>
      </c>
      <c r="B34" s="72"/>
      <c r="C34" s="72"/>
      <c r="D34" s="72"/>
      <c r="E34" s="72"/>
      <c r="F34" s="72"/>
      <c r="G34" s="73" t="s">
        <v>1</v>
      </c>
      <c r="H34" s="74"/>
    </row>
    <row r="35" spans="1:11" x14ac:dyDescent="0.25">
      <c r="A35" s="71" t="s">
        <v>80</v>
      </c>
      <c r="B35" s="72"/>
      <c r="C35" s="72"/>
      <c r="D35" s="72"/>
      <c r="E35" s="72"/>
      <c r="F35" s="72"/>
      <c r="G35" s="1"/>
      <c r="H35" s="2"/>
    </row>
    <row r="36" spans="1:11" x14ac:dyDescent="0.25">
      <c r="A36" s="3" t="s">
        <v>3</v>
      </c>
      <c r="B36" s="75" t="s">
        <v>70</v>
      </c>
      <c r="C36" s="75"/>
      <c r="D36" s="4" t="s">
        <v>4</v>
      </c>
      <c r="E36" s="4"/>
      <c r="F36" s="76" t="s">
        <v>69</v>
      </c>
      <c r="G36" s="76"/>
      <c r="H36" s="77"/>
    </row>
    <row r="37" spans="1:11" x14ac:dyDescent="0.25">
      <c r="A37" s="70" t="s">
        <v>5</v>
      </c>
      <c r="B37" s="70" t="s">
        <v>21</v>
      </c>
      <c r="C37" s="70" t="s">
        <v>7</v>
      </c>
      <c r="D37" s="70"/>
      <c r="E37" s="70"/>
      <c r="F37" s="70" t="s">
        <v>11</v>
      </c>
      <c r="G37" s="70"/>
      <c r="H37" s="70"/>
      <c r="I37" s="70" t="s">
        <v>12</v>
      </c>
      <c r="J37" s="70"/>
      <c r="K37" s="70"/>
    </row>
    <row r="38" spans="1:11" x14ac:dyDescent="0.25">
      <c r="A38" s="70"/>
      <c r="B38" s="70"/>
      <c r="C38" s="30" t="s">
        <v>8</v>
      </c>
      <c r="D38" s="30" t="s">
        <v>9</v>
      </c>
      <c r="E38" s="30" t="s">
        <v>10</v>
      </c>
      <c r="F38" s="30" t="s">
        <v>8</v>
      </c>
      <c r="G38" s="30" t="s">
        <v>9</v>
      </c>
      <c r="H38" s="30" t="s">
        <v>10</v>
      </c>
      <c r="I38" s="30" t="s">
        <v>8</v>
      </c>
      <c r="J38" s="30" t="s">
        <v>9</v>
      </c>
      <c r="K38" s="30" t="s">
        <v>10</v>
      </c>
    </row>
    <row r="39" spans="1:11" ht="30" x14ac:dyDescent="0.25">
      <c r="A39" s="6">
        <v>43252</v>
      </c>
      <c r="B39" s="30" t="s">
        <v>71</v>
      </c>
      <c r="C39" s="14"/>
      <c r="D39" s="14"/>
      <c r="E39" s="14"/>
      <c r="F39" s="14"/>
      <c r="G39" s="14"/>
      <c r="H39" s="14"/>
      <c r="I39" s="14" t="s">
        <v>81</v>
      </c>
      <c r="J39" s="15" t="s">
        <v>82</v>
      </c>
      <c r="K39" s="15" t="s">
        <v>83</v>
      </c>
    </row>
    <row r="40" spans="1:11" ht="45" x14ac:dyDescent="0.25">
      <c r="A40" s="6">
        <v>43255</v>
      </c>
      <c r="B40" s="30" t="s">
        <v>72</v>
      </c>
      <c r="C40" s="14">
        <v>1000</v>
      </c>
      <c r="D40" s="25">
        <v>25</v>
      </c>
      <c r="E40" s="25">
        <f>C40*D40</f>
        <v>25000</v>
      </c>
      <c r="F40" s="14"/>
      <c r="G40" s="14"/>
      <c r="H40" s="14"/>
      <c r="I40" s="14" t="s">
        <v>84</v>
      </c>
      <c r="J40" s="15" t="s">
        <v>85</v>
      </c>
      <c r="K40" s="15" t="s">
        <v>86</v>
      </c>
    </row>
    <row r="41" spans="1:11" ht="45" x14ac:dyDescent="0.25">
      <c r="A41" s="6">
        <v>43256</v>
      </c>
      <c r="B41" s="30" t="s">
        <v>73</v>
      </c>
      <c r="C41" s="14"/>
      <c r="D41" s="14"/>
      <c r="E41" s="25">
        <v>100</v>
      </c>
      <c r="F41" s="14"/>
      <c r="G41" s="14"/>
      <c r="H41" s="14"/>
      <c r="I41" s="14" t="s">
        <v>84</v>
      </c>
      <c r="J41" s="15" t="s">
        <v>88</v>
      </c>
      <c r="K41" s="15" t="s">
        <v>87</v>
      </c>
    </row>
    <row r="42" spans="1:11" ht="45" x14ac:dyDescent="0.25">
      <c r="A42" s="6">
        <v>43256</v>
      </c>
      <c r="B42" s="30" t="s">
        <v>74</v>
      </c>
      <c r="C42" s="14"/>
      <c r="D42" s="14"/>
      <c r="E42" s="25">
        <v>-300</v>
      </c>
      <c r="F42" s="14"/>
      <c r="G42" s="14"/>
      <c r="H42" s="14"/>
      <c r="I42" s="14" t="s">
        <v>84</v>
      </c>
      <c r="J42" s="15" t="s">
        <v>90</v>
      </c>
      <c r="K42" s="15" t="s">
        <v>89</v>
      </c>
    </row>
    <row r="43" spans="1:11" ht="45" x14ac:dyDescent="0.25">
      <c r="A43" s="6">
        <v>43260</v>
      </c>
      <c r="B43" s="30" t="s">
        <v>75</v>
      </c>
      <c r="C43" s="14"/>
      <c r="D43" s="14"/>
      <c r="E43" s="14"/>
      <c r="F43" s="14">
        <v>200</v>
      </c>
      <c r="G43" s="25">
        <v>24</v>
      </c>
      <c r="H43" s="25">
        <f>F43*G43</f>
        <v>4800</v>
      </c>
      <c r="I43" s="14" t="s">
        <v>91</v>
      </c>
      <c r="J43" s="15" t="s">
        <v>90</v>
      </c>
      <c r="K43" s="15" t="s">
        <v>92</v>
      </c>
    </row>
    <row r="44" spans="1:11" ht="30" x14ac:dyDescent="0.25">
      <c r="A44" s="6">
        <v>43261</v>
      </c>
      <c r="B44" s="30" t="s">
        <v>76</v>
      </c>
      <c r="C44" s="14"/>
      <c r="D44" s="14"/>
      <c r="E44" s="14"/>
      <c r="F44" s="14" t="s">
        <v>93</v>
      </c>
      <c r="G44" s="49" t="s">
        <v>94</v>
      </c>
      <c r="H44" s="14" t="s">
        <v>95</v>
      </c>
      <c r="I44" s="14">
        <f>1000</f>
        <v>1000</v>
      </c>
      <c r="J44" s="15">
        <v>24.8</v>
      </c>
      <c r="K44" s="16">
        <f>I44*J44</f>
        <v>24800</v>
      </c>
    </row>
    <row r="45" spans="1:11" ht="30" x14ac:dyDescent="0.25">
      <c r="A45" s="6">
        <v>43269</v>
      </c>
      <c r="B45" s="30" t="s">
        <v>77</v>
      </c>
      <c r="C45" s="14">
        <v>100</v>
      </c>
      <c r="D45" s="48">
        <v>24</v>
      </c>
      <c r="E45" s="25">
        <v>2400</v>
      </c>
      <c r="F45" s="14"/>
      <c r="G45" s="14"/>
      <c r="H45" s="14"/>
      <c r="I45" s="14" t="s">
        <v>96</v>
      </c>
      <c r="J45" s="15" t="s">
        <v>97</v>
      </c>
      <c r="K45" s="16" t="s">
        <v>98</v>
      </c>
    </row>
    <row r="46" spans="1:11" ht="45" x14ac:dyDescent="0.25">
      <c r="A46" s="6">
        <v>43274</v>
      </c>
      <c r="B46" s="30" t="s">
        <v>72</v>
      </c>
      <c r="C46" s="14">
        <v>100</v>
      </c>
      <c r="D46" s="50">
        <v>26</v>
      </c>
      <c r="E46" s="25">
        <v>2600</v>
      </c>
      <c r="F46" s="14"/>
      <c r="G46" s="14"/>
      <c r="H46" s="14"/>
      <c r="I46" s="14" t="s">
        <v>99</v>
      </c>
      <c r="J46" s="15" t="s">
        <v>100</v>
      </c>
      <c r="K46" s="16" t="s">
        <v>101</v>
      </c>
    </row>
    <row r="47" spans="1:11" ht="45" x14ac:dyDescent="0.25">
      <c r="A47" s="6">
        <v>43279</v>
      </c>
      <c r="B47" s="30" t="s">
        <v>78</v>
      </c>
      <c r="C47" s="14"/>
      <c r="D47" s="14"/>
      <c r="E47" s="14"/>
      <c r="F47" s="14">
        <v>50</v>
      </c>
      <c r="G47" s="50">
        <v>26</v>
      </c>
      <c r="H47" s="25">
        <f>F47*G47</f>
        <v>1300</v>
      </c>
      <c r="I47" s="14" t="s">
        <v>102</v>
      </c>
      <c r="J47" s="15" t="s">
        <v>100</v>
      </c>
      <c r="K47" s="16" t="s">
        <v>103</v>
      </c>
    </row>
    <row r="48" spans="1:11" x14ac:dyDescent="0.25">
      <c r="A48" s="6">
        <v>43281</v>
      </c>
      <c r="B48" s="30" t="s">
        <v>79</v>
      </c>
      <c r="C48" s="14"/>
      <c r="D48" s="14"/>
      <c r="E48" s="14"/>
      <c r="F48" s="14"/>
      <c r="G48" s="14"/>
      <c r="H48" s="14"/>
      <c r="I48" s="14">
        <v>1150</v>
      </c>
      <c r="J48" s="15"/>
      <c r="K48" s="16">
        <v>28500</v>
      </c>
    </row>
    <row r="49" spans="1:11" x14ac:dyDescent="0.25">
      <c r="A49" s="45"/>
      <c r="B49" s="45"/>
      <c r="C49" s="46"/>
      <c r="D49" s="46"/>
      <c r="E49" s="46"/>
      <c r="F49" s="46"/>
      <c r="G49" s="46"/>
      <c r="H49" s="46"/>
      <c r="I49" s="46"/>
      <c r="J49" s="47"/>
      <c r="K49" s="47"/>
    </row>
    <row r="50" spans="1:11" x14ac:dyDescent="0.25">
      <c r="A50" s="45"/>
      <c r="B50" s="45"/>
      <c r="C50" s="46"/>
      <c r="D50" s="46"/>
      <c r="E50" s="46"/>
      <c r="F50" s="46"/>
      <c r="G50" s="46"/>
      <c r="H50" s="46"/>
      <c r="I50" s="46"/>
      <c r="J50" s="47"/>
      <c r="K50" s="47"/>
    </row>
    <row r="51" spans="1:11" x14ac:dyDescent="0.25">
      <c r="A51" s="45"/>
      <c r="B51" s="45"/>
      <c r="C51" s="46"/>
      <c r="D51" s="46"/>
      <c r="E51" s="46"/>
      <c r="F51" s="46"/>
      <c r="G51" s="46"/>
      <c r="H51" s="46"/>
      <c r="I51" s="46"/>
      <c r="J51" s="47"/>
      <c r="K51" s="47"/>
    </row>
  </sheetData>
  <mergeCells count="20">
    <mergeCell ref="I18:K18"/>
    <mergeCell ref="A15:F15"/>
    <mergeCell ref="G15:H15"/>
    <mergeCell ref="A16:F16"/>
    <mergeCell ref="B17:C17"/>
    <mergeCell ref="F17:H17"/>
    <mergeCell ref="A18:A19"/>
    <mergeCell ref="B18:B19"/>
    <mergeCell ref="C18:E18"/>
    <mergeCell ref="F18:H18"/>
    <mergeCell ref="A34:F34"/>
    <mergeCell ref="G34:H34"/>
    <mergeCell ref="A35:F35"/>
    <mergeCell ref="B36:C36"/>
    <mergeCell ref="F36:H36"/>
    <mergeCell ref="A37:A38"/>
    <mergeCell ref="B37:B38"/>
    <mergeCell ref="C37:E37"/>
    <mergeCell ref="F37:H37"/>
    <mergeCell ref="I37:K3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M49"/>
  <sheetViews>
    <sheetView topLeftCell="F1" zoomScale="70" zoomScaleNormal="70" workbookViewId="0">
      <selection activeCell="L38" sqref="L38:M38"/>
    </sheetView>
  </sheetViews>
  <sheetFormatPr baseColWidth="10" defaultRowHeight="15" x14ac:dyDescent="0.25"/>
  <cols>
    <col min="1" max="1" width="11.85546875" bestFit="1" customWidth="1"/>
    <col min="2" max="2" width="20.7109375" bestFit="1" customWidth="1"/>
    <col min="10" max="10" width="9.28515625" bestFit="1" customWidth="1"/>
    <col min="12" max="12" width="41" customWidth="1"/>
    <col min="13" max="13" width="41.28515625" customWidth="1"/>
  </cols>
  <sheetData>
    <row r="30" spans="1:8" x14ac:dyDescent="0.25">
      <c r="A30" s="71" t="s">
        <v>0</v>
      </c>
      <c r="B30" s="72"/>
      <c r="C30" s="72"/>
      <c r="D30" s="72"/>
      <c r="E30" s="72"/>
      <c r="F30" s="72"/>
      <c r="G30" s="73" t="s">
        <v>1</v>
      </c>
      <c r="H30" s="74"/>
    </row>
    <row r="31" spans="1:8" x14ac:dyDescent="0.25">
      <c r="A31" s="71" t="s">
        <v>80</v>
      </c>
      <c r="B31" s="72"/>
      <c r="C31" s="72"/>
      <c r="D31" s="72"/>
      <c r="E31" s="72"/>
      <c r="F31" s="72"/>
      <c r="G31" s="1"/>
      <c r="H31" s="2"/>
    </row>
    <row r="32" spans="1:8" x14ac:dyDescent="0.25">
      <c r="A32" s="3" t="s">
        <v>3</v>
      </c>
      <c r="B32" s="75" t="s">
        <v>70</v>
      </c>
      <c r="C32" s="75"/>
      <c r="D32" s="4" t="s">
        <v>4</v>
      </c>
      <c r="E32" s="4"/>
      <c r="F32" s="76"/>
      <c r="G32" s="76"/>
      <c r="H32" s="77"/>
    </row>
    <row r="33" spans="1:13" ht="15.75" x14ac:dyDescent="0.25">
      <c r="A33" s="70" t="s">
        <v>5</v>
      </c>
      <c r="B33" s="70" t="s">
        <v>21</v>
      </c>
      <c r="C33" s="70" t="s">
        <v>7</v>
      </c>
      <c r="D33" s="70"/>
      <c r="E33" s="70"/>
      <c r="F33" s="70" t="s">
        <v>11</v>
      </c>
      <c r="G33" s="70"/>
      <c r="H33" s="70"/>
      <c r="I33" s="70" t="s">
        <v>12</v>
      </c>
      <c r="J33" s="70"/>
      <c r="K33" s="70"/>
      <c r="L33" s="54" t="s">
        <v>104</v>
      </c>
      <c r="M33" s="54" t="s">
        <v>105</v>
      </c>
    </row>
    <row r="34" spans="1:13" ht="15.75" x14ac:dyDescent="0.25">
      <c r="A34" s="70"/>
      <c r="B34" s="70"/>
      <c r="C34" s="51" t="s">
        <v>8</v>
      </c>
      <c r="D34" s="51" t="s">
        <v>9</v>
      </c>
      <c r="E34" s="51" t="s">
        <v>10</v>
      </c>
      <c r="F34" s="51" t="s">
        <v>8</v>
      </c>
      <c r="G34" s="51" t="s">
        <v>9</v>
      </c>
      <c r="H34" s="51" t="s">
        <v>10</v>
      </c>
      <c r="I34" s="51" t="s">
        <v>8</v>
      </c>
      <c r="J34" s="51" t="s">
        <v>9</v>
      </c>
      <c r="K34" s="51" t="s">
        <v>10</v>
      </c>
      <c r="L34" s="55" t="s">
        <v>106</v>
      </c>
      <c r="M34" s="55" t="s">
        <v>107</v>
      </c>
    </row>
    <row r="35" spans="1:13" x14ac:dyDescent="0.25">
      <c r="A35" s="6">
        <v>43191</v>
      </c>
      <c r="B35" s="52" t="s">
        <v>14</v>
      </c>
      <c r="C35" s="52"/>
      <c r="D35" s="52"/>
      <c r="E35" s="52"/>
      <c r="F35" s="52"/>
      <c r="G35" s="52"/>
      <c r="H35" s="52"/>
      <c r="I35" s="52">
        <v>1000</v>
      </c>
      <c r="J35" s="61">
        <v>10</v>
      </c>
      <c r="K35" s="7">
        <f>I35*J35</f>
        <v>10000</v>
      </c>
      <c r="L35" s="31"/>
      <c r="M35" s="31"/>
    </row>
    <row r="36" spans="1:13" ht="30" x14ac:dyDescent="0.25">
      <c r="A36" s="6">
        <v>43205</v>
      </c>
      <c r="B36" s="52" t="s">
        <v>72</v>
      </c>
      <c r="C36" s="52">
        <v>2000</v>
      </c>
      <c r="D36" s="7">
        <v>12</v>
      </c>
      <c r="E36" s="7">
        <f>C36*D36</f>
        <v>24000</v>
      </c>
      <c r="F36" s="52"/>
      <c r="G36" s="52"/>
      <c r="H36" s="52"/>
      <c r="I36" s="14" t="s">
        <v>108</v>
      </c>
      <c r="J36" s="62" t="s">
        <v>109</v>
      </c>
      <c r="K36" s="14" t="s">
        <v>110</v>
      </c>
      <c r="L36" s="31"/>
      <c r="M36" s="31"/>
    </row>
    <row r="37" spans="1:13" ht="30" x14ac:dyDescent="0.25">
      <c r="A37" s="6">
        <v>43220</v>
      </c>
      <c r="B37" s="52" t="s">
        <v>76</v>
      </c>
      <c r="C37" s="52"/>
      <c r="D37" s="52"/>
      <c r="E37" s="52"/>
      <c r="F37" s="14" t="s">
        <v>111</v>
      </c>
      <c r="G37" s="14" t="s">
        <v>112</v>
      </c>
      <c r="H37" s="25" t="s">
        <v>113</v>
      </c>
      <c r="I37" s="52">
        <v>1500</v>
      </c>
      <c r="J37" s="61">
        <v>12</v>
      </c>
      <c r="K37" s="7">
        <v>18000</v>
      </c>
      <c r="L37" s="53" t="s">
        <v>114</v>
      </c>
      <c r="M37" s="53" t="s">
        <v>115</v>
      </c>
    </row>
    <row r="38" spans="1:13" x14ac:dyDescent="0.25">
      <c r="A38" s="6">
        <v>43222</v>
      </c>
      <c r="B38" s="52" t="s">
        <v>76</v>
      </c>
      <c r="C38" s="52"/>
      <c r="D38" s="52"/>
      <c r="E38" s="52"/>
      <c r="F38" s="52">
        <v>200</v>
      </c>
      <c r="G38" s="7">
        <v>12</v>
      </c>
      <c r="H38" s="7">
        <f>F38*G38</f>
        <v>2400</v>
      </c>
      <c r="I38" s="52">
        <f>I37-F38</f>
        <v>1300</v>
      </c>
      <c r="J38" s="61">
        <v>12</v>
      </c>
      <c r="K38" s="7">
        <f>I38*J38</f>
        <v>15600</v>
      </c>
      <c r="L38" s="31" t="s">
        <v>116</v>
      </c>
      <c r="M38" s="31" t="s">
        <v>117</v>
      </c>
    </row>
    <row r="39" spans="1:13" ht="30" x14ac:dyDescent="0.25">
      <c r="A39" s="6">
        <v>43230</v>
      </c>
      <c r="B39" s="52" t="s">
        <v>72</v>
      </c>
      <c r="C39" s="52">
        <v>600</v>
      </c>
      <c r="D39" s="7">
        <v>13</v>
      </c>
      <c r="E39" s="7">
        <f>C39*D39</f>
        <v>7800</v>
      </c>
      <c r="F39" s="52"/>
      <c r="G39" s="52"/>
      <c r="H39" s="52"/>
      <c r="I39" s="14" t="s">
        <v>118</v>
      </c>
      <c r="J39" s="62" t="s">
        <v>119</v>
      </c>
      <c r="K39" s="14" t="s">
        <v>120</v>
      </c>
      <c r="L39" s="31"/>
      <c r="M39" s="31"/>
    </row>
    <row r="40" spans="1:13" ht="30" x14ac:dyDescent="0.25">
      <c r="A40" s="6">
        <v>43250</v>
      </c>
      <c r="B40" s="52" t="s">
        <v>76</v>
      </c>
      <c r="C40" s="52"/>
      <c r="D40" s="52"/>
      <c r="E40" s="52"/>
      <c r="F40" s="52">
        <v>1000</v>
      </c>
      <c r="G40" s="7">
        <v>12</v>
      </c>
      <c r="H40" s="7">
        <f>F40*G40</f>
        <v>12000</v>
      </c>
      <c r="I40" s="14" t="s">
        <v>121</v>
      </c>
      <c r="J40" s="62" t="s">
        <v>122</v>
      </c>
      <c r="K40" s="14" t="s">
        <v>123</v>
      </c>
      <c r="L40" s="14" t="s">
        <v>124</v>
      </c>
      <c r="M40" s="52" t="s">
        <v>117</v>
      </c>
    </row>
    <row r="41" spans="1:13" ht="45" x14ac:dyDescent="0.25">
      <c r="A41" s="32">
        <v>43276</v>
      </c>
      <c r="B41" s="31" t="s">
        <v>72</v>
      </c>
      <c r="C41" s="31">
        <v>200</v>
      </c>
      <c r="D41" s="57">
        <v>13.5</v>
      </c>
      <c r="E41" s="57">
        <f>C41*D41</f>
        <v>2700</v>
      </c>
      <c r="F41" s="31"/>
      <c r="G41" s="31"/>
      <c r="H41" s="31"/>
      <c r="I41" s="14" t="s">
        <v>125</v>
      </c>
      <c r="J41" s="62" t="s">
        <v>126</v>
      </c>
      <c r="K41" s="14" t="s">
        <v>127</v>
      </c>
      <c r="L41" s="31"/>
      <c r="M41" s="31"/>
    </row>
    <row r="42" spans="1:13" x14ac:dyDescent="0.25">
      <c r="A42" s="32">
        <v>43281</v>
      </c>
      <c r="B42" s="31" t="s">
        <v>128</v>
      </c>
      <c r="C42" s="59"/>
      <c r="D42" s="60"/>
      <c r="E42" s="53"/>
      <c r="F42" s="53">
        <v>27</v>
      </c>
      <c r="G42" s="60">
        <v>12</v>
      </c>
      <c r="H42" s="60">
        <f>F42*G42</f>
        <v>324</v>
      </c>
      <c r="I42" s="31">
        <v>273</v>
      </c>
      <c r="J42" s="34">
        <v>12</v>
      </c>
      <c r="K42" s="34">
        <f>I42*J42</f>
        <v>3276</v>
      </c>
      <c r="L42" s="31"/>
      <c r="M42" s="31" t="s">
        <v>129</v>
      </c>
    </row>
    <row r="43" spans="1:13" x14ac:dyDescent="0.25">
      <c r="A43" s="31"/>
      <c r="B43" s="31"/>
      <c r="C43" s="31"/>
      <c r="D43" s="31"/>
      <c r="E43" s="31"/>
      <c r="F43" s="58">
        <f>(600*100)/1100</f>
        <v>54.545454545454547</v>
      </c>
      <c r="G43" s="34">
        <v>13</v>
      </c>
      <c r="H43" s="34">
        <f>F43*G43</f>
        <v>709.09090909090912</v>
      </c>
      <c r="I43" s="31">
        <v>545</v>
      </c>
      <c r="J43" s="34">
        <v>13</v>
      </c>
      <c r="K43" s="34">
        <f>I43*J43</f>
        <v>7085</v>
      </c>
      <c r="L43" s="31"/>
      <c r="M43" s="31" t="s">
        <v>130</v>
      </c>
    </row>
    <row r="44" spans="1:13" x14ac:dyDescent="0.25">
      <c r="A44" s="31"/>
      <c r="B44" s="31"/>
      <c r="C44" s="31"/>
      <c r="D44" s="31"/>
      <c r="E44" s="31"/>
      <c r="F44" s="58">
        <f>(200*100)/1100</f>
        <v>18.181818181818183</v>
      </c>
      <c r="G44" s="57">
        <v>13.5</v>
      </c>
      <c r="H44" s="34">
        <f>F44*G44</f>
        <v>245.45454545454547</v>
      </c>
      <c r="I44" s="31">
        <v>182</v>
      </c>
      <c r="J44" s="57">
        <v>13.5</v>
      </c>
      <c r="K44" s="57">
        <f>I44*J44</f>
        <v>2457</v>
      </c>
      <c r="L44" s="31"/>
      <c r="M44" s="31" t="s">
        <v>131</v>
      </c>
    </row>
    <row r="45" spans="1:13" x14ac:dyDescent="0.25">
      <c r="A45" s="31"/>
      <c r="B45" s="31"/>
      <c r="C45" s="31"/>
      <c r="D45" s="31"/>
      <c r="E45" s="31"/>
      <c r="F45" s="31"/>
      <c r="G45" s="31"/>
      <c r="H45" s="31"/>
      <c r="I45" s="31"/>
      <c r="J45" s="31"/>
      <c r="K45" s="31"/>
      <c r="L45" s="31"/>
      <c r="M45" s="31"/>
    </row>
    <row r="46" spans="1:13" x14ac:dyDescent="0.25">
      <c r="A46" s="31"/>
      <c r="B46" s="31"/>
      <c r="C46" s="31"/>
      <c r="D46" s="31"/>
      <c r="E46" s="31"/>
      <c r="F46" s="31"/>
      <c r="G46" s="31"/>
      <c r="H46" s="31"/>
      <c r="I46" s="31"/>
      <c r="J46" s="31"/>
      <c r="K46" s="31"/>
      <c r="L46" s="31"/>
      <c r="M46" s="31"/>
    </row>
    <row r="47" spans="1:13" x14ac:dyDescent="0.25">
      <c r="A47" s="31"/>
      <c r="B47" s="31"/>
      <c r="C47" s="31"/>
      <c r="D47" s="31"/>
      <c r="E47" s="31"/>
      <c r="F47" s="31"/>
      <c r="G47" s="31"/>
      <c r="H47" s="31"/>
      <c r="I47" s="31"/>
      <c r="J47" s="31"/>
      <c r="K47" s="31"/>
      <c r="L47" s="31"/>
      <c r="M47" s="31"/>
    </row>
    <row r="48" spans="1:13" x14ac:dyDescent="0.25">
      <c r="A48" s="31"/>
      <c r="B48" s="31"/>
      <c r="C48" s="31"/>
      <c r="D48" s="31"/>
      <c r="E48" s="31"/>
      <c r="F48" s="31"/>
      <c r="G48" s="31"/>
      <c r="H48" s="31"/>
      <c r="I48" s="31"/>
      <c r="J48" s="31"/>
      <c r="K48" s="31"/>
      <c r="L48" s="31"/>
      <c r="M48" s="31"/>
    </row>
    <row r="49" spans="1:13" x14ac:dyDescent="0.25">
      <c r="A49" s="31"/>
      <c r="B49" s="31"/>
      <c r="C49" s="31"/>
      <c r="D49" s="31"/>
      <c r="E49" s="31"/>
      <c r="F49" s="31"/>
      <c r="G49" s="31"/>
      <c r="H49" s="31"/>
      <c r="I49" s="31"/>
      <c r="J49" s="31"/>
      <c r="K49" s="31"/>
      <c r="L49" s="31"/>
      <c r="M49" s="31"/>
    </row>
  </sheetData>
  <mergeCells count="10">
    <mergeCell ref="I33:K33"/>
    <mergeCell ref="A30:F30"/>
    <mergeCell ref="G30:H30"/>
    <mergeCell ref="A31:F31"/>
    <mergeCell ref="B32:C32"/>
    <mergeCell ref="F32:H32"/>
    <mergeCell ref="A33:A34"/>
    <mergeCell ref="B33:B34"/>
    <mergeCell ref="C33:E33"/>
    <mergeCell ref="F33:H3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M29"/>
  <sheetViews>
    <sheetView zoomScale="90" zoomScaleNormal="90" workbookViewId="0">
      <selection activeCell="D15" sqref="D15"/>
    </sheetView>
  </sheetViews>
  <sheetFormatPr baseColWidth="10" defaultRowHeight="15" x14ac:dyDescent="0.25"/>
  <cols>
    <col min="2" max="2" width="18.28515625" customWidth="1"/>
    <col min="8" max="8" width="15" customWidth="1"/>
    <col min="10" max="10" width="12.42578125" bestFit="1" customWidth="1"/>
    <col min="11" max="11" width="14.42578125" customWidth="1"/>
    <col min="12" max="12" width="42.42578125" customWidth="1"/>
    <col min="13" max="13" width="50.5703125" customWidth="1"/>
  </cols>
  <sheetData>
    <row r="17" spans="1:13" x14ac:dyDescent="0.25">
      <c r="A17" s="3" t="s">
        <v>132</v>
      </c>
      <c r="B17" s="63"/>
      <c r="C17" s="63"/>
      <c r="D17" s="4"/>
      <c r="E17" s="4"/>
      <c r="F17" s="76"/>
      <c r="G17" s="76"/>
      <c r="H17" s="77"/>
    </row>
    <row r="18" spans="1:13" ht="15.75" x14ac:dyDescent="0.25">
      <c r="A18" s="83" t="s">
        <v>5</v>
      </c>
      <c r="B18" s="83" t="s">
        <v>21</v>
      </c>
      <c r="C18" s="80" t="s">
        <v>7</v>
      </c>
      <c r="D18" s="81"/>
      <c r="E18" s="82"/>
      <c r="F18" s="80" t="s">
        <v>11</v>
      </c>
      <c r="G18" s="81"/>
      <c r="H18" s="82"/>
      <c r="I18" s="80" t="s">
        <v>12</v>
      </c>
      <c r="J18" s="81"/>
      <c r="K18" s="82"/>
      <c r="L18" s="64" t="s">
        <v>134</v>
      </c>
      <c r="M18" s="54" t="s">
        <v>135</v>
      </c>
    </row>
    <row r="19" spans="1:13" ht="15.75" x14ac:dyDescent="0.25">
      <c r="A19" s="84"/>
      <c r="B19" s="84"/>
      <c r="C19" s="56" t="s">
        <v>133</v>
      </c>
      <c r="D19" s="56" t="s">
        <v>9</v>
      </c>
      <c r="E19" s="56" t="s">
        <v>10</v>
      </c>
      <c r="F19" s="56" t="s">
        <v>133</v>
      </c>
      <c r="G19" s="56" t="s">
        <v>9</v>
      </c>
      <c r="H19" s="56" t="s">
        <v>10</v>
      </c>
      <c r="I19" s="56" t="s">
        <v>133</v>
      </c>
      <c r="J19" s="56" t="s">
        <v>9</v>
      </c>
      <c r="K19" s="56" t="s">
        <v>10</v>
      </c>
      <c r="L19" s="55"/>
      <c r="M19" s="55"/>
    </row>
    <row r="20" spans="1:13" x14ac:dyDescent="0.25">
      <c r="A20" s="6" t="s">
        <v>136</v>
      </c>
      <c r="B20" s="56" t="s">
        <v>14</v>
      </c>
      <c r="C20" s="56"/>
      <c r="D20" s="56"/>
      <c r="E20" s="56"/>
      <c r="F20" s="56"/>
      <c r="G20" s="56"/>
      <c r="H20" s="56"/>
      <c r="I20" s="56">
        <v>1200</v>
      </c>
      <c r="J20" s="61">
        <v>400</v>
      </c>
      <c r="K20" s="7">
        <f>PRODUCT(I20,J20)</f>
        <v>480000</v>
      </c>
      <c r="L20" s="31"/>
      <c r="M20" s="31"/>
    </row>
    <row r="21" spans="1:13" x14ac:dyDescent="0.25">
      <c r="A21" s="6" t="s">
        <v>137</v>
      </c>
      <c r="B21" s="56" t="s">
        <v>76</v>
      </c>
      <c r="C21" s="56"/>
      <c r="D21" s="7"/>
      <c r="E21" s="7"/>
      <c r="F21" s="56">
        <v>45</v>
      </c>
      <c r="G21" s="7">
        <v>400</v>
      </c>
      <c r="H21" s="9">
        <f>PRODUCT(F21,J20)</f>
        <v>18000</v>
      </c>
      <c r="I21" s="14">
        <f>I20-F21</f>
        <v>1155</v>
      </c>
      <c r="J21" s="62">
        <v>400</v>
      </c>
      <c r="K21" s="65">
        <f t="shared" ref="K21:K29" si="0">I21*J21</f>
        <v>462000</v>
      </c>
      <c r="L21" s="31" t="s">
        <v>139</v>
      </c>
      <c r="M21" s="31" t="s">
        <v>138</v>
      </c>
    </row>
    <row r="22" spans="1:13" x14ac:dyDescent="0.25">
      <c r="A22" s="6" t="s">
        <v>140</v>
      </c>
      <c r="B22" s="56" t="s">
        <v>76</v>
      </c>
      <c r="C22" s="56"/>
      <c r="D22" s="56"/>
      <c r="E22" s="56"/>
      <c r="F22" s="14">
        <v>36</v>
      </c>
      <c r="G22" s="25">
        <v>400</v>
      </c>
      <c r="H22" s="25">
        <f>F22*G22</f>
        <v>14400</v>
      </c>
      <c r="I22" s="56">
        <f>I21-F22</f>
        <v>1119</v>
      </c>
      <c r="J22" s="61">
        <v>400</v>
      </c>
      <c r="K22" s="7">
        <f t="shared" si="0"/>
        <v>447600</v>
      </c>
      <c r="L22" s="31" t="s">
        <v>141</v>
      </c>
      <c r="M22" s="31" t="s">
        <v>138</v>
      </c>
    </row>
    <row r="23" spans="1:13" x14ac:dyDescent="0.25">
      <c r="A23" s="6" t="s">
        <v>142</v>
      </c>
      <c r="B23" s="56" t="s">
        <v>76</v>
      </c>
      <c r="C23" s="56"/>
      <c r="D23" s="56"/>
      <c r="E23" s="56"/>
      <c r="F23" s="56">
        <v>160</v>
      </c>
      <c r="G23" s="66">
        <v>400</v>
      </c>
      <c r="H23" s="7">
        <f>F23*G23</f>
        <v>64000</v>
      </c>
      <c r="I23" s="56">
        <f>I22-F23</f>
        <v>959</v>
      </c>
      <c r="J23" s="61">
        <v>400</v>
      </c>
      <c r="K23" s="7">
        <f t="shared" si="0"/>
        <v>383600</v>
      </c>
      <c r="L23" s="31" t="s">
        <v>143</v>
      </c>
      <c r="M23" s="31" t="s">
        <v>138</v>
      </c>
    </row>
    <row r="24" spans="1:13" x14ac:dyDescent="0.25">
      <c r="A24" s="6" t="s">
        <v>144</v>
      </c>
      <c r="B24" s="56" t="s">
        <v>145</v>
      </c>
      <c r="C24" s="56">
        <v>95</v>
      </c>
      <c r="D24" s="66">
        <v>400</v>
      </c>
      <c r="E24" s="7">
        <f>C24*D24</f>
        <v>38000</v>
      </c>
      <c r="F24" s="56"/>
      <c r="G24" s="56"/>
      <c r="H24" s="56"/>
      <c r="I24" s="14">
        <f>I23+C24</f>
        <v>1054</v>
      </c>
      <c r="J24" s="62">
        <v>400</v>
      </c>
      <c r="K24" s="65">
        <f t="shared" si="0"/>
        <v>421600</v>
      </c>
      <c r="L24" s="31"/>
      <c r="M24" s="31"/>
    </row>
    <row r="25" spans="1:13" x14ac:dyDescent="0.25">
      <c r="A25" s="6" t="s">
        <v>146</v>
      </c>
      <c r="B25" s="56" t="s">
        <v>17</v>
      </c>
      <c r="C25" s="56">
        <v>985</v>
      </c>
      <c r="D25" s="7">
        <v>510</v>
      </c>
      <c r="E25" s="7">
        <f>C25*D25</f>
        <v>502350</v>
      </c>
      <c r="F25" s="56"/>
      <c r="G25" s="7"/>
      <c r="H25" s="7"/>
      <c r="I25" s="14">
        <f>I24+C25</f>
        <v>2039</v>
      </c>
      <c r="J25" s="62">
        <f>(K24+E25)/I25</f>
        <v>453.13879352623837</v>
      </c>
      <c r="K25" s="65">
        <f t="shared" si="0"/>
        <v>923950</v>
      </c>
      <c r="L25" s="14"/>
      <c r="M25" s="56"/>
    </row>
    <row r="26" spans="1:13" x14ac:dyDescent="0.25">
      <c r="A26" s="32" t="s">
        <v>147</v>
      </c>
      <c r="B26" s="67" t="s">
        <v>76</v>
      </c>
      <c r="C26" s="67"/>
      <c r="D26" s="68"/>
      <c r="E26" s="68"/>
      <c r="F26" s="67">
        <v>65</v>
      </c>
      <c r="G26" s="62">
        <f>J25</f>
        <v>453.13879352623837</v>
      </c>
      <c r="H26" s="69">
        <f>F26*G26</f>
        <v>29454.021579205495</v>
      </c>
      <c r="I26" s="14">
        <f>I25-F26</f>
        <v>1974</v>
      </c>
      <c r="J26" s="62">
        <f>G26</f>
        <v>453.13879352623837</v>
      </c>
      <c r="K26" s="15">
        <f t="shared" si="0"/>
        <v>894495.97842079459</v>
      </c>
      <c r="L26" s="31" t="s">
        <v>149</v>
      </c>
      <c r="M26" s="31" t="s">
        <v>148</v>
      </c>
    </row>
    <row r="27" spans="1:13" x14ac:dyDescent="0.25">
      <c r="A27" s="32" t="s">
        <v>150</v>
      </c>
      <c r="B27" s="67" t="s">
        <v>17</v>
      </c>
      <c r="C27" s="59">
        <v>140</v>
      </c>
      <c r="D27" s="60">
        <v>550</v>
      </c>
      <c r="E27" s="60">
        <f>C27*D27</f>
        <v>77000</v>
      </c>
      <c r="F27" s="53"/>
      <c r="G27" s="60"/>
      <c r="H27" s="60"/>
      <c r="I27" s="14">
        <f>I26+C27</f>
        <v>2114</v>
      </c>
      <c r="J27" s="62">
        <f>(K26+E27)/I27</f>
        <v>459.55344296158682</v>
      </c>
      <c r="K27" s="34">
        <f t="shared" si="0"/>
        <v>971495.97842079459</v>
      </c>
      <c r="L27" s="78" t="s">
        <v>154</v>
      </c>
      <c r="M27" s="31"/>
    </row>
    <row r="28" spans="1:13" ht="36.75" customHeight="1" x14ac:dyDescent="0.25">
      <c r="A28" s="31" t="s">
        <v>150</v>
      </c>
      <c r="B28" s="31" t="s">
        <v>151</v>
      </c>
      <c r="C28" s="31"/>
      <c r="D28" s="31"/>
      <c r="E28" s="31">
        <v>1000</v>
      </c>
      <c r="F28" s="58"/>
      <c r="G28" s="34"/>
      <c r="H28" s="34"/>
      <c r="I28" s="14">
        <f>I27</f>
        <v>2114</v>
      </c>
      <c r="J28" s="57">
        <f>(K26+E27+E28)/I28</f>
        <v>460.02647985846482</v>
      </c>
      <c r="K28" s="57">
        <f t="shared" si="0"/>
        <v>972495.97842079459</v>
      </c>
      <c r="L28" s="79"/>
      <c r="M28" s="31"/>
    </row>
    <row r="29" spans="1:13" x14ac:dyDescent="0.25">
      <c r="A29" s="31" t="s">
        <v>152</v>
      </c>
      <c r="B29" s="31" t="s">
        <v>153</v>
      </c>
      <c r="C29" s="31"/>
      <c r="D29" s="31"/>
      <c r="E29" s="31"/>
      <c r="F29" s="58">
        <v>1</v>
      </c>
      <c r="G29" s="57">
        <f>J28</f>
        <v>460.02647985846482</v>
      </c>
      <c r="H29" s="34">
        <f>F29*G29</f>
        <v>460.02647985846482</v>
      </c>
      <c r="I29" s="14">
        <f>I28-F29</f>
        <v>2113</v>
      </c>
      <c r="J29" s="57">
        <v>460.03</v>
      </c>
      <c r="K29" s="57">
        <f t="shared" si="0"/>
        <v>972043.3899999999</v>
      </c>
      <c r="L29" s="31" t="s">
        <v>155</v>
      </c>
      <c r="M29" s="31"/>
    </row>
  </sheetData>
  <mergeCells count="7">
    <mergeCell ref="B18:B19"/>
    <mergeCell ref="A18:A19"/>
    <mergeCell ref="F17:H17"/>
    <mergeCell ref="L27:L28"/>
    <mergeCell ref="I18:K18"/>
    <mergeCell ref="F18:H18"/>
    <mergeCell ref="C18:E18"/>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Ejercicio 1</vt:lpstr>
      <vt:lpstr>Ejercicio 2</vt:lpstr>
      <vt:lpstr>Ejercico 3</vt:lpstr>
      <vt:lpstr>Ejercicio 4</vt:lpstr>
      <vt:lpstr>Ejercicio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2018-06-01T09:17:24Z</dcterms:modified>
</cp:coreProperties>
</file>